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893" firstSheet="1" activeTab="1"/>
  </bookViews>
  <sheets>
    <sheet name="選択肢マスタ（変更禁止）" sheetId="32" state="hidden" r:id="rId1"/>
    <sheet name="概算額の計算" sheetId="30" r:id="rId2"/>
  </sheets>
  <definedNames>
    <definedName name="LST_その他経費費目">'選択肢マスタ（変更禁止）'!$C$2:$C$8</definedName>
    <definedName name="LST_収入費目">'選択肢マスタ（変更禁止）'!$A$2:$A$5</definedName>
    <definedName name="LST_初期経費費目">'選択肢マスタ（変更禁止）'!$B$2:$B$4</definedName>
    <definedName name="_xlnm.Print_Area" localSheetId="1">概算額の計算!$D$1:$S$63</definedName>
    <definedName name="RNG_出納簿_その他経費金額">#REF!</definedName>
    <definedName name="RNG_出納簿_その他経費費目">#REF!</definedName>
    <definedName name="RNG_出納簿_印刷消耗品費">#REF!</definedName>
    <definedName name="RNG_出納簿_印刷消耗品費2">#REF!</definedName>
    <definedName name="RNG_出納簿_月">#REF!</definedName>
    <definedName name="RNG_出納簿_収入金額">#REF!</definedName>
    <definedName name="RNG_出納簿_収入費目">#REF!</definedName>
    <definedName name="RNG_出納簿_初期経費金額">#REF!</definedName>
    <definedName name="RNG_出納簿_初期経費費目">#REF!</definedName>
    <definedName name="RNG_出納簿_食糧費">#REF!</definedName>
    <definedName name="RNG_出納簿_補助対象外経費">#REF!</definedName>
    <definedName name="RNG_出納簿_報償費2">#REF!</definedName>
    <definedName name="選択肢_元号" localSheetId="1">#REF!</definedName>
    <definedName name="選択肢_元号">#REF!</definedName>
    <definedName name="選択肢_性別" localSheetId="1">#REF!</definedName>
    <definedName name="選択肢_性別">#REF!</definedName>
    <definedName name="選択肢_調査結果" localSheetId="1">#REF!</definedName>
    <definedName name="選択肢_調査結果">#REF!</definedName>
    <definedName name="選択肢_補助金の事前交付" localSheetId="1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0" l="1"/>
  <c r="S13" i="30" l="1"/>
  <c r="S12" i="30"/>
  <c r="J59" i="30" l="1"/>
  <c r="J53" i="30"/>
  <c r="J47" i="30"/>
  <c r="K7" i="30" l="1"/>
  <c r="Q27" i="30" l="1"/>
  <c r="M18" i="30"/>
  <c r="I19" i="30"/>
  <c r="Q19" i="30"/>
  <c r="M20" i="30"/>
  <c r="I21" i="30"/>
  <c r="Q21" i="30"/>
  <c r="M22" i="30"/>
  <c r="I23" i="30"/>
  <c r="Q23" i="30"/>
  <c r="M24" i="30"/>
  <c r="I25" i="30"/>
  <c r="Q25" i="30"/>
  <c r="M26" i="30"/>
  <c r="I27" i="30"/>
  <c r="F18" i="30"/>
  <c r="N18" i="30"/>
  <c r="J19" i="30"/>
  <c r="F20" i="30"/>
  <c r="N20" i="30"/>
  <c r="J21" i="30"/>
  <c r="F22" i="30"/>
  <c r="N22" i="30"/>
  <c r="J23" i="30"/>
  <c r="F24" i="30"/>
  <c r="N24" i="30"/>
  <c r="J25" i="30"/>
  <c r="F26" i="30"/>
  <c r="N26" i="30"/>
  <c r="J27" i="30"/>
  <c r="J20" i="30"/>
  <c r="J22" i="30"/>
  <c r="J24" i="30"/>
  <c r="J26" i="30"/>
  <c r="P27" i="30"/>
  <c r="G18" i="30"/>
  <c r="O18" i="30"/>
  <c r="K19" i="30"/>
  <c r="G20" i="30"/>
  <c r="O20" i="30"/>
  <c r="K21" i="30"/>
  <c r="G22" i="30"/>
  <c r="O22" i="30"/>
  <c r="K23" i="30"/>
  <c r="G24" i="30"/>
  <c r="O24" i="30"/>
  <c r="K25" i="30"/>
  <c r="G26" i="30"/>
  <c r="O26" i="30"/>
  <c r="K27" i="30"/>
  <c r="P26" i="30"/>
  <c r="Q18" i="30"/>
  <c r="I20" i="30"/>
  <c r="M21" i="30"/>
  <c r="Q22" i="30"/>
  <c r="I24" i="30"/>
  <c r="M25" i="30"/>
  <c r="Q26" i="30"/>
  <c r="M27" i="30"/>
  <c r="F19" i="30"/>
  <c r="F21" i="30"/>
  <c r="N23" i="30"/>
  <c r="N25" i="30"/>
  <c r="L26" i="30"/>
  <c r="H18" i="30"/>
  <c r="P18" i="30"/>
  <c r="L19" i="30"/>
  <c r="H20" i="30"/>
  <c r="P20" i="30"/>
  <c r="L21" i="30"/>
  <c r="H22" i="30"/>
  <c r="P22" i="30"/>
  <c r="L23" i="30"/>
  <c r="H24" i="30"/>
  <c r="P24" i="30"/>
  <c r="L25" i="30"/>
  <c r="H26" i="30"/>
  <c r="L27" i="30"/>
  <c r="M19" i="30"/>
  <c r="Q20" i="30"/>
  <c r="I22" i="30"/>
  <c r="M23" i="30"/>
  <c r="Q24" i="30"/>
  <c r="I26" i="30"/>
  <c r="J18" i="30"/>
  <c r="N19" i="30"/>
  <c r="N21" i="30"/>
  <c r="F23" i="30"/>
  <c r="F25" i="30"/>
  <c r="F27" i="30"/>
  <c r="H27" i="30"/>
  <c r="I18" i="30"/>
  <c r="N27" i="30"/>
  <c r="K18" i="30"/>
  <c r="G19" i="30"/>
  <c r="O19" i="30"/>
  <c r="K20" i="30"/>
  <c r="G21" i="30"/>
  <c r="O21" i="30"/>
  <c r="K22" i="30"/>
  <c r="G23" i="30"/>
  <c r="O23" i="30"/>
  <c r="K24" i="30"/>
  <c r="G25" i="30"/>
  <c r="O25" i="30"/>
  <c r="K26" i="30"/>
  <c r="G27" i="30"/>
  <c r="O27" i="30"/>
  <c r="L18" i="30"/>
  <c r="H19" i="30"/>
  <c r="P19" i="30"/>
  <c r="L20" i="30"/>
  <c r="H21" i="30"/>
  <c r="P21" i="30"/>
  <c r="L22" i="30"/>
  <c r="H23" i="30"/>
  <c r="P23" i="30"/>
  <c r="L24" i="30"/>
  <c r="H25" i="30"/>
  <c r="P25" i="30"/>
  <c r="H47" i="30"/>
  <c r="K9" i="30" l="1"/>
  <c r="K8" i="30"/>
  <c r="R12" i="30"/>
  <c r="K6" i="30" l="1"/>
  <c r="H59" i="30" l="1"/>
  <c r="H53" i="30"/>
  <c r="H48" i="30"/>
  <c r="R13" i="30" l="1"/>
  <c r="F40" i="30" l="1"/>
  <c r="F36" i="30"/>
  <c r="F37" i="30"/>
  <c r="F31" i="30"/>
  <c r="F32" i="30"/>
  <c r="F34" i="30"/>
  <c r="F35" i="30"/>
  <c r="F39" i="30"/>
  <c r="F38" i="30"/>
  <c r="F33" i="30"/>
  <c r="Q40" i="30"/>
  <c r="I40" i="30"/>
  <c r="M39" i="30"/>
  <c r="Q38" i="30"/>
  <c r="I38" i="30"/>
  <c r="M37" i="30"/>
  <c r="Q36" i="30"/>
  <c r="I36" i="30"/>
  <c r="M35" i="30"/>
  <c r="Q34" i="30"/>
  <c r="I34" i="30"/>
  <c r="M33" i="30"/>
  <c r="Q32" i="30"/>
  <c r="I32" i="30"/>
  <c r="M31" i="30"/>
  <c r="L31" i="30"/>
  <c r="N36" i="30"/>
  <c r="N34" i="30"/>
  <c r="G35" i="30"/>
  <c r="K32" i="30"/>
  <c r="P40" i="30"/>
  <c r="H40" i="30"/>
  <c r="L39" i="30"/>
  <c r="P38" i="30"/>
  <c r="H38" i="30"/>
  <c r="L37" i="30"/>
  <c r="P36" i="30"/>
  <c r="H36" i="30"/>
  <c r="L35" i="30"/>
  <c r="P34" i="30"/>
  <c r="H34" i="30"/>
  <c r="L33" i="30"/>
  <c r="P32" i="30"/>
  <c r="H32" i="30"/>
  <c r="J35" i="30"/>
  <c r="J33" i="30"/>
  <c r="J31" i="30"/>
  <c r="P31" i="30"/>
  <c r="G39" i="30"/>
  <c r="K36" i="30"/>
  <c r="G33" i="30"/>
  <c r="N33" i="30"/>
  <c r="O40" i="30"/>
  <c r="G40" i="30"/>
  <c r="K39" i="30"/>
  <c r="O38" i="30"/>
  <c r="G38" i="30"/>
  <c r="K37" i="30"/>
  <c r="O36" i="30"/>
  <c r="G36" i="30"/>
  <c r="K35" i="30"/>
  <c r="O34" i="30"/>
  <c r="G34" i="30"/>
  <c r="K33" i="30"/>
  <c r="O32" i="30"/>
  <c r="G32" i="30"/>
  <c r="K31" i="30"/>
  <c r="J37" i="30"/>
  <c r="N31" i="30"/>
  <c r="N40" i="30"/>
  <c r="J39" i="30"/>
  <c r="N38" i="30"/>
  <c r="N32" i="30"/>
  <c r="L32" i="30"/>
  <c r="O39" i="30"/>
  <c r="G37" i="30"/>
  <c r="O33" i="30"/>
  <c r="J34" i="30"/>
  <c r="M40" i="30"/>
  <c r="Q39" i="30"/>
  <c r="I39" i="30"/>
  <c r="M38" i="30"/>
  <c r="Q37" i="30"/>
  <c r="I37" i="30"/>
  <c r="M36" i="30"/>
  <c r="Q35" i="30"/>
  <c r="I35" i="30"/>
  <c r="M34" i="30"/>
  <c r="Q33" i="30"/>
  <c r="I33" i="30"/>
  <c r="M32" i="30"/>
  <c r="Q31" i="30"/>
  <c r="I31" i="30"/>
  <c r="P37" i="30"/>
  <c r="P35" i="30"/>
  <c r="L34" i="30"/>
  <c r="P33" i="30"/>
  <c r="K40" i="30"/>
  <c r="O37" i="30"/>
  <c r="K34" i="30"/>
  <c r="G31" i="30"/>
  <c r="L40" i="30"/>
  <c r="P39" i="30"/>
  <c r="H39" i="30"/>
  <c r="L38" i="30"/>
  <c r="H37" i="30"/>
  <c r="L36" i="30"/>
  <c r="H35" i="30"/>
  <c r="H33" i="30"/>
  <c r="H31" i="30"/>
  <c r="K38" i="30"/>
  <c r="O35" i="30"/>
  <c r="O31" i="30"/>
  <c r="J32" i="30"/>
  <c r="J40" i="30"/>
  <c r="N39" i="30"/>
  <c r="J38" i="30"/>
  <c r="N37" i="30"/>
  <c r="J36" i="30"/>
  <c r="N35" i="30"/>
  <c r="R22" i="30"/>
  <c r="R26" i="30"/>
  <c r="R27" i="30"/>
  <c r="R20" i="30"/>
  <c r="R25" i="30"/>
  <c r="R19" i="30"/>
  <c r="R18" i="30"/>
  <c r="R24" i="30"/>
  <c r="R21" i="30"/>
  <c r="R23" i="30"/>
  <c r="R32" i="30" l="1"/>
  <c r="R33" i="30"/>
  <c r="R35" i="30"/>
  <c r="R31" i="30"/>
  <c r="R34" i="30"/>
  <c r="R38" i="30"/>
  <c r="R36" i="30"/>
  <c r="R39" i="30"/>
  <c r="R40" i="30"/>
  <c r="R37" i="30"/>
  <c r="S27" i="30"/>
  <c r="H51" i="30" s="1"/>
  <c r="S40" i="30" l="1"/>
  <c r="H57" i="30" s="1"/>
  <c r="H54" i="30"/>
  <c r="H60" i="30" l="1"/>
  <c r="H62" i="30" s="1"/>
</calcChain>
</file>

<file path=xl/sharedStrings.xml><?xml version="1.0" encoding="utf-8"?>
<sst xmlns="http://schemas.openxmlformats.org/spreadsheetml/2006/main" count="100" uniqueCount="75">
  <si>
    <t>賃借料又は会場借上料</t>
  </si>
  <si>
    <t>需用費（光熱水費）</t>
  </si>
  <si>
    <t>役務費（保険料）</t>
  </si>
  <si>
    <t>役務費（通信費）</t>
  </si>
  <si>
    <t>負担金</t>
  </si>
  <si>
    <t>報償費</t>
  </si>
  <si>
    <t>食堂利用料</t>
    <rPh sb="0" eb="2">
      <t>ショクドウ</t>
    </rPh>
    <rPh sb="2" eb="5">
      <t>リヨウリョウ</t>
    </rPh>
    <phoneticPr fontId="1"/>
  </si>
  <si>
    <t>寄付金、その他助成</t>
    <rPh sb="0" eb="3">
      <t>キフキン</t>
    </rPh>
    <rPh sb="6" eb="7">
      <t>タ</t>
    </rPh>
    <rPh sb="7" eb="9">
      <t>ジョセイ</t>
    </rPh>
    <phoneticPr fontId="1"/>
  </si>
  <si>
    <t>市補助金</t>
    <rPh sb="0" eb="4">
      <t>シホジョキン</t>
    </rPh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</si>
  <si>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</si>
  <si>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工事請負費</t>
  </si>
  <si>
    <t>備品購入費</t>
  </si>
  <si>
    <t>その他の経費</t>
  </si>
  <si>
    <t>LST_収入費目</t>
    <rPh sb="4" eb="6">
      <t>シュウニュウ</t>
    </rPh>
    <rPh sb="6" eb="8">
      <t>ヒモク</t>
    </rPh>
    <phoneticPr fontId="1"/>
  </si>
  <si>
    <t>LST_初期経費費目</t>
    <rPh sb="4" eb="6">
      <t>ショキ</t>
    </rPh>
    <rPh sb="6" eb="8">
      <t>ケイヒ</t>
    </rPh>
    <rPh sb="8" eb="10">
      <t>ヒモク</t>
    </rPh>
    <phoneticPr fontId="1"/>
  </si>
  <si>
    <t>LST_その他経費費目</t>
    <rPh sb="6" eb="7">
      <t>タ</t>
    </rPh>
    <rPh sb="7" eb="9">
      <t>ケイヒ</t>
    </rPh>
    <rPh sb="9" eb="11">
      <t>ヒモク</t>
    </rPh>
    <phoneticPr fontId="1"/>
  </si>
  <si>
    <t>役務費（交通費）</t>
    <rPh sb="4" eb="7">
      <t>コウツウヒ</t>
    </rPh>
    <phoneticPr fontId="1"/>
  </si>
  <si>
    <t>団体名：　</t>
    <rPh sb="0" eb="2">
      <t>ダンタイ</t>
    </rPh>
    <rPh sb="2" eb="3">
      <t>メイ</t>
    </rPh>
    <phoneticPr fontId="1"/>
  </si>
  <si>
    <t>■ 基本情報</t>
    <rPh sb="2" eb="4">
      <t>キホン</t>
    </rPh>
    <rPh sb="4" eb="6">
      <t>ジョウホウ</t>
    </rPh>
    <phoneticPr fontId="1"/>
  </si>
  <si>
    <t>年目</t>
    <rPh sb="0" eb="2">
      <t>ネンメ</t>
    </rPh>
    <phoneticPr fontId="1"/>
  </si>
  <si>
    <t>　A. 補助金の申請年数</t>
    <rPh sb="4" eb="6">
      <t>ホジョ</t>
    </rPh>
    <rPh sb="6" eb="7">
      <t>キン</t>
    </rPh>
    <rPh sb="8" eb="10">
      <t>シンセイ</t>
    </rPh>
    <rPh sb="10" eb="12">
      <t>ネンスウ</t>
    </rPh>
    <phoneticPr fontId="1"/>
  </si>
  <si>
    <t>①事業実施</t>
    <rPh sb="1" eb="3">
      <t>ジギョウ</t>
    </rPh>
    <rPh sb="3" eb="5">
      <t>ジッシ</t>
    </rPh>
    <phoneticPr fontId="1"/>
  </si>
  <si>
    <t>②学習支援</t>
    <rPh sb="1" eb="3">
      <t>ガクシュウ</t>
    </rPh>
    <rPh sb="3" eb="5">
      <t>シエン</t>
    </rPh>
    <phoneticPr fontId="1"/>
  </si>
  <si>
    <t>補助率</t>
    <rPh sb="0" eb="3">
      <t>ホジョリツ</t>
    </rPh>
    <phoneticPr fontId="1"/>
  </si>
  <si>
    <t>最多回数</t>
    <rPh sb="0" eb="1">
      <t>モット</t>
    </rPh>
    <rPh sb="1" eb="2">
      <t>オオ</t>
    </rPh>
    <rPh sb="2" eb="4">
      <t>カイスウ</t>
    </rPh>
    <phoneticPr fontId="1"/>
  </si>
  <si>
    <t>パターン</t>
    <phoneticPr fontId="1"/>
  </si>
  <si>
    <t>減額/月</t>
    <rPh sb="0" eb="2">
      <t>ゲンガク</t>
    </rPh>
    <rPh sb="3" eb="4">
      <t>ツキ</t>
    </rPh>
    <phoneticPr fontId="3"/>
  </si>
  <si>
    <t>月1→0回</t>
    <rPh sb="0" eb="1">
      <t>ツキ</t>
    </rPh>
    <rPh sb="4" eb="5">
      <t>カイ</t>
    </rPh>
    <phoneticPr fontId="3"/>
  </si>
  <si>
    <t>月2→0回</t>
    <rPh sb="0" eb="1">
      <t>ゲツ</t>
    </rPh>
    <rPh sb="4" eb="5">
      <t>カイ</t>
    </rPh>
    <phoneticPr fontId="3"/>
  </si>
  <si>
    <t>月2→1回</t>
    <rPh sb="0" eb="1">
      <t>ゲツ</t>
    </rPh>
    <rPh sb="4" eb="5">
      <t>カイ</t>
    </rPh>
    <phoneticPr fontId="3"/>
  </si>
  <si>
    <t>月3→0回</t>
    <rPh sb="0" eb="1">
      <t>ゲツ</t>
    </rPh>
    <rPh sb="4" eb="5">
      <t>カイ</t>
    </rPh>
    <phoneticPr fontId="3"/>
  </si>
  <si>
    <t>月3→1回</t>
    <rPh sb="0" eb="1">
      <t>ゲツ</t>
    </rPh>
    <rPh sb="4" eb="5">
      <t>カイ</t>
    </rPh>
    <phoneticPr fontId="3"/>
  </si>
  <si>
    <t>月3→2回</t>
    <rPh sb="0" eb="1">
      <t>ゲツ</t>
    </rPh>
    <rPh sb="4" eb="5">
      <t>カイ</t>
    </rPh>
    <phoneticPr fontId="3"/>
  </si>
  <si>
    <t>月4→0回</t>
    <rPh sb="0" eb="1">
      <t>ゲツ</t>
    </rPh>
    <rPh sb="4" eb="5">
      <t>カイ</t>
    </rPh>
    <phoneticPr fontId="3"/>
  </si>
  <si>
    <t>月4→1回</t>
    <rPh sb="0" eb="1">
      <t>ゲツ</t>
    </rPh>
    <rPh sb="4" eb="5">
      <t>カイ</t>
    </rPh>
    <phoneticPr fontId="3"/>
  </si>
  <si>
    <t>月4→2回</t>
    <rPh sb="0" eb="1">
      <t>ゲツ</t>
    </rPh>
    <rPh sb="4" eb="5">
      <t>カイ</t>
    </rPh>
    <phoneticPr fontId="3"/>
  </si>
  <si>
    <t>月4→3回</t>
    <rPh sb="0" eb="1">
      <t>ゲツ</t>
    </rPh>
    <rPh sb="4" eb="5">
      <t>カイ</t>
    </rPh>
    <phoneticPr fontId="3"/>
  </si>
  <si>
    <t>（交付要綱 別表2）</t>
    <phoneticPr fontId="1"/>
  </si>
  <si>
    <t>※4回以上は「4回」で表示</t>
    <rPh sb="2" eb="3">
      <t>カイ</t>
    </rPh>
    <rPh sb="3" eb="5">
      <t>イジョウ</t>
    </rPh>
    <rPh sb="8" eb="9">
      <t>カイ</t>
    </rPh>
    <rPh sb="11" eb="13">
      <t>ヒョウジ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</si>
  <si>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</si>
  <si>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</si>
  <si>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（交付要綱 別表3）</t>
    <phoneticPr fontId="1"/>
  </si>
  <si>
    <t>①補助金の上限額</t>
    <rPh sb="1" eb="4">
      <t>ホジョキン</t>
    </rPh>
    <rPh sb="5" eb="8">
      <t>ジョウゲンガク</t>
    </rPh>
    <phoneticPr fontId="1"/>
  </si>
  <si>
    <t>　事業開始</t>
    <rPh sb="1" eb="3">
      <t>ジギョウ</t>
    </rPh>
    <rPh sb="3" eb="5">
      <t>カイシ</t>
    </rPh>
    <phoneticPr fontId="1"/>
  </si>
  <si>
    <t>・・・　金額固定</t>
    <rPh sb="4" eb="6">
      <t>キンガク</t>
    </rPh>
    <rPh sb="6" eb="8">
      <t>コテイ</t>
    </rPh>
    <phoneticPr fontId="1"/>
  </si>
  <si>
    <t>②事業開始に要する経費</t>
    <rPh sb="1" eb="3">
      <t>ジギョウ</t>
    </rPh>
    <rPh sb="3" eb="5">
      <t>カイシ</t>
    </rPh>
    <rPh sb="6" eb="7">
      <t>ヨウ</t>
    </rPh>
    <rPh sb="9" eb="11">
      <t>ケイヒ</t>
    </rPh>
    <phoneticPr fontId="1"/>
  </si>
  <si>
    <t>③経費 × 補助率（自動計算）</t>
    <rPh sb="1" eb="3">
      <t>ケイヒ</t>
    </rPh>
    <rPh sb="6" eb="9">
      <t>ホジョリツ</t>
    </rPh>
    <rPh sb="10" eb="12">
      <t>ジドウ</t>
    </rPh>
    <rPh sb="12" eb="14">
      <t>ケイサン</t>
    </rPh>
    <phoneticPr fontId="1"/>
  </si>
  <si>
    <t>　事業実施</t>
    <rPh sb="1" eb="3">
      <t>ジギョウ</t>
    </rPh>
    <rPh sb="3" eb="5">
      <t>ジッシ</t>
    </rPh>
    <phoneticPr fontId="1"/>
  </si>
  <si>
    <t>②事業実施に要する経費</t>
    <rPh sb="1" eb="3">
      <t>ジギョウ</t>
    </rPh>
    <rPh sb="3" eb="5">
      <t>ジッシ</t>
    </rPh>
    <rPh sb="6" eb="7">
      <t>ヨウ</t>
    </rPh>
    <rPh sb="9" eb="11">
      <t>ケイヒ</t>
    </rPh>
    <phoneticPr fontId="1"/>
  </si>
  <si>
    <t>　学習支援</t>
    <rPh sb="1" eb="3">
      <t>ガクシュウ</t>
    </rPh>
    <rPh sb="3" eb="5">
      <t>シエン</t>
    </rPh>
    <phoneticPr fontId="1"/>
  </si>
  <si>
    <t>・・・太枠内を記入・入力してください</t>
    <rPh sb="3" eb="5">
      <t>フトワク</t>
    </rPh>
    <rPh sb="5" eb="6">
      <t>ナイ</t>
    </rPh>
    <rPh sb="7" eb="9">
      <t>キニュウ</t>
    </rPh>
    <rPh sb="10" eb="12">
      <t>ニュウリョク</t>
    </rPh>
    <phoneticPr fontId="1"/>
  </si>
  <si>
    <t>月</t>
    <rPh sb="0" eb="1">
      <t>ガツ</t>
    </rPh>
    <phoneticPr fontId="1"/>
  </si>
  <si>
    <t>回/月</t>
    <rPh sb="0" eb="1">
      <t>カイ</t>
    </rPh>
    <rPh sb="2" eb="3">
      <t>ツキ</t>
    </rPh>
    <phoneticPr fontId="1"/>
  </si>
  <si>
    <r>
      <t>　E. 最多回数より少ない月は、上限額を減額</t>
    </r>
    <r>
      <rPr>
        <b/>
        <sz val="12"/>
        <rFont val="Meiryo UI"/>
        <family val="3"/>
        <charset val="128"/>
        <scheme val="minor"/>
      </rPr>
      <t>（自動計算）</t>
    </r>
    <rPh sb="4" eb="6">
      <t>サイタ</t>
    </rPh>
    <rPh sb="6" eb="8">
      <t>カイスウ</t>
    </rPh>
    <rPh sb="10" eb="11">
      <t>スク</t>
    </rPh>
    <rPh sb="13" eb="14">
      <t>ツキ</t>
    </rPh>
    <rPh sb="16" eb="19">
      <t>ジョウゲンガク</t>
    </rPh>
    <rPh sb="20" eb="22">
      <t>ゲンガク</t>
    </rPh>
    <rPh sb="23" eb="25">
      <t>ジドウ</t>
    </rPh>
    <rPh sb="25" eb="27">
      <t>ケイサン</t>
    </rPh>
    <phoneticPr fontId="1"/>
  </si>
  <si>
    <r>
      <t xml:space="preserve"> 　　　　　　　　　　　　　　　　</t>
    </r>
    <r>
      <rPr>
        <b/>
        <sz val="12"/>
        <rFont val="Meiryo UI"/>
        <family val="3"/>
        <charset val="128"/>
        <scheme val="minor"/>
      </rPr>
      <t>②学習支援</t>
    </r>
    <rPh sb="18" eb="20">
      <t>ガクシュウ</t>
    </rPh>
    <rPh sb="20" eb="22">
      <t>シエン</t>
    </rPh>
    <phoneticPr fontId="1"/>
  </si>
  <si>
    <t>・・・　月1回15万円、2回30万円、3回45万円、4回60万円 ×開催月数/12(B) － 減額(E)</t>
    <rPh sb="4" eb="5">
      <t>ツキ</t>
    </rPh>
    <rPh sb="6" eb="7">
      <t>カイ</t>
    </rPh>
    <rPh sb="9" eb="11">
      <t>マンエン</t>
    </rPh>
    <rPh sb="13" eb="14">
      <t>カイ</t>
    </rPh>
    <rPh sb="16" eb="18">
      <t>マンエン</t>
    </rPh>
    <rPh sb="20" eb="21">
      <t>カイ</t>
    </rPh>
    <rPh sb="23" eb="25">
      <t>マンエン</t>
    </rPh>
    <rPh sb="27" eb="28">
      <t>カイ</t>
    </rPh>
    <rPh sb="30" eb="32">
      <t>マンエン</t>
    </rPh>
    <rPh sb="34" eb="36">
      <t>カイサイ</t>
    </rPh>
    <rPh sb="36" eb="37">
      <t>ツキ</t>
    </rPh>
    <rPh sb="37" eb="38">
      <t>スウ</t>
    </rPh>
    <rPh sb="47" eb="49">
      <t>ゲンガク</t>
    </rPh>
    <phoneticPr fontId="1"/>
  </si>
  <si>
    <t>②学習支援に要する経費</t>
    <rPh sb="1" eb="3">
      <t>ガクシュウ</t>
    </rPh>
    <rPh sb="3" eb="5">
      <t>シエン</t>
    </rPh>
    <rPh sb="6" eb="7">
      <t>ヨウ</t>
    </rPh>
    <rPh sb="9" eb="11">
      <t>ケイヒ</t>
    </rPh>
    <phoneticPr fontId="1"/>
  </si>
  <si>
    <t>月数</t>
    <rPh sb="0" eb="2">
      <t>ツキスウ</t>
    </rPh>
    <phoneticPr fontId="1"/>
  </si>
  <si>
    <t>・・・　月1回 3万円、2回 6万円、3回 9万円、4回12万円 ×開催月数/12(B)  － 減額（E）</t>
    <rPh sb="4" eb="5">
      <t>ツキ</t>
    </rPh>
    <rPh sb="6" eb="7">
      <t>カイ</t>
    </rPh>
    <rPh sb="9" eb="11">
      <t>マンエン</t>
    </rPh>
    <rPh sb="13" eb="14">
      <t>カイ</t>
    </rPh>
    <rPh sb="16" eb="18">
      <t>マンエン</t>
    </rPh>
    <rPh sb="20" eb="21">
      <t>カイ</t>
    </rPh>
    <rPh sb="23" eb="25">
      <t>マンエン</t>
    </rPh>
    <rPh sb="27" eb="28">
      <t>カイ</t>
    </rPh>
    <rPh sb="30" eb="32">
      <t>マンエン</t>
    </rPh>
    <rPh sb="48" eb="50">
      <t>ゲンガク</t>
    </rPh>
    <phoneticPr fontId="1"/>
  </si>
  <si>
    <t>■ 補助金（概算額
）の計算</t>
    <rPh sb="2" eb="4">
      <t>ホジョ</t>
    </rPh>
    <rPh sb="12" eb="14">
      <t>ケイサン</t>
    </rPh>
    <phoneticPr fontId="1"/>
  </si>
  <si>
    <t xml:space="preserve">④補助金の概算額
</t>
    <rPh sb="1" eb="4">
      <t>ホジョキン</t>
    </rPh>
    <phoneticPr fontId="1"/>
  </si>
  <si>
    <t>■ 補助金（概算額
）合計</t>
    <rPh sb="2" eb="4">
      <t>ホジョ</t>
    </rPh>
    <rPh sb="11" eb="13">
      <t>ゴウケイ</t>
    </rPh>
    <phoneticPr fontId="1"/>
  </si>
  <si>
    <t>　D. 年間の開催回数（予定）</t>
    <rPh sb="4" eb="6">
      <t>ネンカン</t>
    </rPh>
    <rPh sb="7" eb="9">
      <t>カイサイ</t>
    </rPh>
    <rPh sb="9" eb="11">
      <t>カイスウ</t>
    </rPh>
    <rPh sb="12" eb="14">
      <t>ヨテイ</t>
    </rPh>
    <phoneticPr fontId="1"/>
  </si>
  <si>
    <r>
      <t>・・・　①と③を比べて少ない金額 （千円未満切捨）</t>
    </r>
    <r>
      <rPr>
        <b/>
        <sz val="14"/>
        <color rgb="FFFF0000"/>
        <rFont val="Meiryo UI"/>
        <family val="3"/>
        <charset val="128"/>
        <scheme val="minor"/>
      </rPr>
      <t>★収支計画書に書く金額</t>
    </r>
    <rPh sb="8" eb="9">
      <t>クラ</t>
    </rPh>
    <rPh sb="11" eb="12">
      <t>スク</t>
    </rPh>
    <rPh sb="14" eb="16">
      <t>キンガク</t>
    </rPh>
    <rPh sb="18" eb="20">
      <t>センエン</t>
    </rPh>
    <rPh sb="20" eb="22">
      <t>ミマン</t>
    </rPh>
    <rPh sb="22" eb="24">
      <t>キリス</t>
    </rPh>
    <rPh sb="26" eb="28">
      <t>シュウシ</t>
    </rPh>
    <rPh sb="28" eb="30">
      <t>ケイカク</t>
    </rPh>
    <rPh sb="30" eb="31">
      <t>ショ</t>
    </rPh>
    <rPh sb="32" eb="33">
      <t>カ</t>
    </rPh>
    <rPh sb="34" eb="36">
      <t>キンガク</t>
    </rPh>
    <phoneticPr fontId="1"/>
  </si>
  <si>
    <r>
      <t xml:space="preserve">　C. 開催回数（予定）　 </t>
    </r>
    <r>
      <rPr>
        <b/>
        <sz val="12"/>
        <rFont val="Meiryo UI"/>
        <family val="3"/>
        <charset val="128"/>
        <scheme val="minor"/>
      </rPr>
      <t>①事業実施</t>
    </r>
    <rPh sb="4" eb="6">
      <t>カイサイ</t>
    </rPh>
    <rPh sb="6" eb="8">
      <t>カイスウ</t>
    </rPh>
    <rPh sb="9" eb="11">
      <t>ヨテイ</t>
    </rPh>
    <rPh sb="15" eb="17">
      <t>ジギョウ</t>
    </rPh>
    <rPh sb="17" eb="19">
      <t>ジッシ</t>
    </rPh>
    <phoneticPr fontId="1"/>
  </si>
  <si>
    <r>
      <t>・・・</t>
    </r>
    <r>
      <rPr>
        <b/>
        <sz val="14"/>
        <rFont val="Meiryo UI"/>
        <family val="3"/>
        <charset val="128"/>
        <scheme val="minor"/>
      </rPr>
      <t>収支計画書の「小計①」の金額を入力</t>
    </r>
    <rPh sb="3" eb="5">
      <t>シュウシ</t>
    </rPh>
    <rPh sb="5" eb="7">
      <t>ケイカク</t>
    </rPh>
    <rPh sb="7" eb="8">
      <t>ショ</t>
    </rPh>
    <rPh sb="10" eb="12">
      <t>ショウケイ</t>
    </rPh>
    <rPh sb="15" eb="17">
      <t>キンガク</t>
    </rPh>
    <rPh sb="18" eb="20">
      <t>ニュウリョク</t>
    </rPh>
    <phoneticPr fontId="1"/>
  </si>
  <si>
    <r>
      <t>・・・</t>
    </r>
    <r>
      <rPr>
        <b/>
        <sz val="14"/>
        <rFont val="Meiryo UI"/>
        <family val="3"/>
        <charset val="128"/>
        <scheme val="minor"/>
      </rPr>
      <t>収支計画書の「小計②」の金額を入力</t>
    </r>
    <rPh sb="3" eb="5">
      <t>シュウシ</t>
    </rPh>
    <rPh sb="5" eb="7">
      <t>ケイカク</t>
    </rPh>
    <rPh sb="7" eb="8">
      <t>ショ</t>
    </rPh>
    <rPh sb="10" eb="12">
      <t>ショウケイ</t>
    </rPh>
    <rPh sb="15" eb="17">
      <t>キンガク</t>
    </rPh>
    <rPh sb="18" eb="20">
      <t>ニュウリョク</t>
    </rPh>
    <phoneticPr fontId="1"/>
  </si>
  <si>
    <r>
      <t>・・・</t>
    </r>
    <r>
      <rPr>
        <b/>
        <sz val="14"/>
        <rFont val="Meiryo UI"/>
        <family val="3"/>
        <charset val="128"/>
        <scheme val="minor"/>
      </rPr>
      <t>収支計画書の「小計③」の金額を入力</t>
    </r>
    <rPh sb="3" eb="5">
      <t>シュウシ</t>
    </rPh>
    <rPh sb="5" eb="7">
      <t>ケイカク</t>
    </rPh>
    <rPh sb="7" eb="8">
      <t>ショ</t>
    </rPh>
    <rPh sb="10" eb="12">
      <t>ショウケイ</t>
    </rPh>
    <rPh sb="15" eb="17">
      <t>キンガク</t>
    </rPh>
    <rPh sb="18" eb="20">
      <t>ニュウリョク</t>
    </rPh>
    <phoneticPr fontId="1"/>
  </si>
  <si>
    <r>
      <rPr>
        <b/>
        <sz val="18"/>
        <rFont val="Meiryo UI"/>
        <family val="3"/>
        <charset val="128"/>
        <scheme val="minor"/>
      </rPr>
      <t>令和</t>
    </r>
    <r>
      <rPr>
        <b/>
        <u/>
        <sz val="18"/>
        <rFont val="Meiryo UI"/>
        <family val="3"/>
        <charset val="128"/>
        <scheme val="minor"/>
      </rPr>
      <t>　　　</t>
    </r>
    <r>
      <rPr>
        <b/>
        <sz val="18"/>
        <rFont val="Meiryo UI"/>
        <family val="3"/>
        <charset val="128"/>
        <scheme val="minor"/>
      </rPr>
      <t>年度</t>
    </r>
    <r>
      <rPr>
        <b/>
        <sz val="18"/>
        <color theme="1"/>
        <rFont val="Meiryo UI"/>
        <family val="3"/>
        <charset val="128"/>
        <scheme val="minor"/>
      </rPr>
      <t>　子どもの食と居場所づくり支援事業補助金　</t>
    </r>
    <r>
      <rPr>
        <b/>
        <sz val="18"/>
        <color rgb="FF0070C0"/>
        <rFont val="Meiryo UI"/>
        <family val="3"/>
        <charset val="128"/>
        <scheme val="minor"/>
      </rPr>
      <t>【概算額の計算シート】</t>
    </r>
    <rPh sb="0" eb="2">
      <t>レイワ</t>
    </rPh>
    <rPh sb="5" eb="7">
      <t>ネンド</t>
    </rPh>
    <rPh sb="8" eb="9">
      <t>コ</t>
    </rPh>
    <rPh sb="12" eb="13">
      <t>ショク</t>
    </rPh>
    <rPh sb="14" eb="17">
      <t>イバショ</t>
    </rPh>
    <rPh sb="20" eb="22">
      <t>シエン</t>
    </rPh>
    <rPh sb="22" eb="24">
      <t>ジギョウ</t>
    </rPh>
    <rPh sb="24" eb="27">
      <t>ホジョキン</t>
    </rPh>
    <rPh sb="33" eb="35">
      <t>ケイサン</t>
    </rPh>
    <phoneticPr fontId="1"/>
  </si>
  <si>
    <t>　B. 今年度の開始月（申請月以降）</t>
    <rPh sb="4" eb="7">
      <t>コンネンド</t>
    </rPh>
    <rPh sb="8" eb="10">
      <t>カイシ</t>
    </rPh>
    <rPh sb="10" eb="11">
      <t>ツキ</t>
    </rPh>
    <rPh sb="12" eb="14">
      <t>シンセイ</t>
    </rPh>
    <rPh sb="14" eb="15">
      <t>ツキ</t>
    </rPh>
    <rPh sb="15" eb="17">
      <t>イコウ</t>
    </rPh>
    <phoneticPr fontId="1"/>
  </si>
  <si>
    <t>□</t>
  </si>
  <si>
    <t>年間回数</t>
    <rPh sb="0" eb="2">
      <t>ネンカン</t>
    </rPh>
    <rPh sb="2" eb="4">
      <t>カイスウ</t>
    </rPh>
    <phoneticPr fontId="1"/>
  </si>
  <si>
    <t>実施回数の振分け有無：</t>
    <rPh sb="8" eb="10">
      <t>ウム</t>
    </rPh>
    <phoneticPr fontId="1"/>
  </si>
  <si>
    <t>振分けあり</t>
    <rPh sb="0" eb="2">
      <t>フリワ</t>
    </rPh>
    <phoneticPr fontId="1"/>
  </si>
  <si>
    <t>（学校の長期休業期間等に実施回数を増やす場合のみ）</t>
    <rPh sb="20" eb="2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</si>
</sst>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&quot;か年目&quot;"/>
    <numFmt numFmtId="178" formatCode="#\ &quot;回/月&quot;"/>
    <numFmt numFmtId="179" formatCode="#\ &quot;月&quot;"/>
    <numFmt numFmtId="180" formatCode="0&quot;月&quot;"/>
    <numFmt numFmtId="181" formatCode="#,##0&quot;回&quot;"/>
  </numFmts>
  <fonts count="20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  <scheme val="minor"/>
    </font>
    <font>
      <sz val="11"/>
      <color theme="1"/>
      <name val="Meiryo UI"/>
      <family val="3"/>
      <charset val="128"/>
      <scheme val="minor"/>
    </font>
    <font>
      <b/>
      <sz val="11"/>
      <name val="Meiryo UI"/>
      <family val="3"/>
      <charset val="128"/>
      <scheme val="minor"/>
    </font>
    <font>
      <sz val="11"/>
      <name val="Meiryo UI"/>
      <family val="3"/>
      <charset val="128"/>
      <scheme val="minor"/>
    </font>
    <font>
      <b/>
      <sz val="12"/>
      <name val="Meiryo UI"/>
      <family val="3"/>
      <charset val="128"/>
      <scheme val="minor"/>
    </font>
    <font>
      <b/>
      <sz val="14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4"/>
      <name val="Meiryo UI"/>
      <family val="3"/>
      <charset val="128"/>
      <scheme val="minor"/>
    </font>
    <font>
      <b/>
      <sz val="18"/>
      <color theme="1"/>
      <name val="Meiryo UI"/>
      <family val="3"/>
      <charset val="128"/>
      <scheme val="minor"/>
    </font>
    <font>
      <b/>
      <sz val="18"/>
      <color rgb="FF0070C0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b/>
      <sz val="14"/>
      <color rgb="FFFF0000"/>
      <name val="Meiryo UI"/>
      <family val="3"/>
      <charset val="128"/>
      <scheme val="minor"/>
    </font>
    <font>
      <b/>
      <sz val="16"/>
      <name val="Meiryo UI"/>
      <family val="3"/>
      <charset val="128"/>
      <scheme val="minor"/>
    </font>
    <font>
      <b/>
      <sz val="18"/>
      <name val="Meiryo UI"/>
      <family val="3"/>
      <charset val="128"/>
      <scheme val="minor"/>
    </font>
    <font>
      <b/>
      <u/>
      <sz val="18"/>
      <name val="Meiryo UI"/>
      <family val="3"/>
      <charset val="128"/>
      <scheme val="minor"/>
    </font>
    <font>
      <b/>
      <sz val="12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4" fillId="0" borderId="0" xfId="0" applyFont="1"/>
    <xf numFmtId="0" fontId="6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0" fillId="0" borderId="0" xfId="1" applyFo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179" fontId="7" fillId="0" borderId="0" xfId="3" applyNumberFormat="1" applyFont="1" applyFill="1" applyBorder="1" applyProtection="1">
      <alignment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/>
    </xf>
    <xf numFmtId="177" fontId="10" fillId="0" borderId="0" xfId="3" applyNumberFormat="1" applyFont="1" applyFill="1" applyBorder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1" quotePrefix="1" applyFont="1" applyBorder="1" applyAlignment="1" applyProtection="1">
      <alignment vertical="center"/>
    </xf>
    <xf numFmtId="178" fontId="10" fillId="0" borderId="0" xfId="3" applyNumberFormat="1" applyFont="1" applyFill="1" applyBorder="1" applyProtection="1">
      <alignment vertical="center"/>
      <protection locked="0"/>
    </xf>
    <xf numFmtId="0" fontId="10" fillId="0" borderId="0" xfId="1" applyFont="1" applyFill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7" fillId="2" borderId="0" xfId="1" applyFont="1" applyFill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180" fontId="7" fillId="2" borderId="7" xfId="1" applyNumberFormat="1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 applyProtection="1">
      <alignment horizontal="center" vertical="center" wrapText="1"/>
    </xf>
    <xf numFmtId="176" fontId="7" fillId="2" borderId="1" xfId="3" applyNumberFormat="1" applyFont="1" applyFill="1" applyBorder="1" applyProtection="1">
      <alignment vertical="center"/>
    </xf>
    <xf numFmtId="0" fontId="14" fillId="0" borderId="0" xfId="1" applyFont="1" applyProtection="1">
      <alignment vertical="center"/>
    </xf>
    <xf numFmtId="176" fontId="7" fillId="2" borderId="0" xfId="1" applyNumberFormat="1" applyFont="1" applyFill="1" applyProtection="1">
      <alignment vertical="center"/>
    </xf>
    <xf numFmtId="0" fontId="7" fillId="0" borderId="9" xfId="1" applyFont="1" applyBorder="1" applyProtection="1">
      <alignment vertical="center"/>
    </xf>
    <xf numFmtId="0" fontId="9" fillId="0" borderId="0" xfId="1" applyFont="1" applyProtection="1">
      <alignment vertical="center"/>
    </xf>
    <xf numFmtId="0" fontId="7" fillId="5" borderId="0" xfId="1" applyFont="1" applyFill="1" applyProtection="1">
      <alignment vertical="center"/>
    </xf>
    <xf numFmtId="0" fontId="11" fillId="0" borderId="0" xfId="1" applyFont="1" applyFill="1" applyProtection="1">
      <alignment vertical="center"/>
    </xf>
    <xf numFmtId="0" fontId="7" fillId="0" borderId="0" xfId="1" applyFont="1" applyFill="1" applyProtection="1">
      <alignment vertical="center"/>
    </xf>
    <xf numFmtId="181" fontId="10" fillId="2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80" fontId="6" fillId="0" borderId="7" xfId="1" applyNumberFormat="1" applyFont="1" applyFill="1" applyBorder="1" applyAlignment="1" applyProtection="1">
      <alignment horizontal="center" vertical="center"/>
    </xf>
    <xf numFmtId="180" fontId="6" fillId="0" borderId="7" xfId="1" quotePrefix="1" applyNumberFormat="1" applyFont="1" applyBorder="1" applyAlignment="1" applyProtection="1">
      <alignment horizontal="center" vertical="center"/>
    </xf>
    <xf numFmtId="180" fontId="6" fillId="0" borderId="7" xfId="1" applyNumberFormat="1" applyFont="1" applyBorder="1" applyAlignment="1" applyProtection="1">
      <alignment horizontal="center" vertical="center"/>
    </xf>
    <xf numFmtId="0" fontId="6" fillId="0" borderId="0" xfId="1" applyFont="1" applyFill="1" applyProtection="1">
      <alignment vertical="center"/>
    </xf>
    <xf numFmtId="0" fontId="7" fillId="6" borderId="0" xfId="1" applyFont="1" applyFill="1" applyProtection="1">
      <alignment vertical="center"/>
    </xf>
    <xf numFmtId="0" fontId="9" fillId="6" borderId="0" xfId="1" applyFont="1" applyFill="1" applyProtection="1">
      <alignment vertical="center"/>
    </xf>
    <xf numFmtId="12" fontId="10" fillId="2" borderId="0" xfId="1" applyNumberFormat="1" applyFont="1" applyFill="1" applyAlignment="1" applyProtection="1">
      <alignment horizontal="center" vertical="center"/>
    </xf>
    <xf numFmtId="0" fontId="9" fillId="4" borderId="0" xfId="1" applyFont="1" applyFill="1" applyProtection="1">
      <alignment vertical="center"/>
    </xf>
    <xf numFmtId="0" fontId="7" fillId="4" borderId="0" xfId="1" applyFont="1" applyFill="1" applyProtection="1">
      <alignment vertical="center"/>
    </xf>
    <xf numFmtId="0" fontId="11" fillId="0" borderId="20" xfId="1" applyFont="1" applyFill="1" applyBorder="1" applyProtection="1">
      <alignment vertical="center"/>
    </xf>
    <xf numFmtId="0" fontId="7" fillId="0" borderId="20" xfId="1" applyFont="1" applyFill="1" applyBorder="1" applyProtection="1">
      <alignment vertical="center"/>
    </xf>
    <xf numFmtId="0" fontId="7" fillId="0" borderId="20" xfId="1" applyFont="1" applyBorder="1" applyProtection="1">
      <alignment vertical="center"/>
    </xf>
    <xf numFmtId="0" fontId="8" fillId="0" borderId="0" xfId="1" applyFont="1" applyProtection="1">
      <alignment vertical="center"/>
    </xf>
    <xf numFmtId="0" fontId="7" fillId="0" borderId="0" xfId="0" applyFont="1" applyProtection="1"/>
    <xf numFmtId="0" fontId="8" fillId="0" borderId="0" xfId="0" applyFont="1" applyAlignment="1" applyProtection="1">
      <alignment horizontal="right" vertical="center"/>
    </xf>
    <xf numFmtId="0" fontId="7" fillId="3" borderId="10" xfId="0" applyFont="1" applyFill="1" applyBorder="1" applyProtection="1"/>
    <xf numFmtId="0" fontId="7" fillId="3" borderId="11" xfId="0" applyFont="1" applyFill="1" applyBorder="1" applyProtection="1"/>
    <xf numFmtId="0" fontId="9" fillId="0" borderId="0" xfId="0" applyFont="1" applyAlignment="1" applyProtection="1">
      <alignment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4" xfId="1" applyFont="1" applyFill="1" applyBorder="1" applyAlignment="1" applyProtection="1">
      <alignment horizontal="center" vertical="center"/>
    </xf>
    <xf numFmtId="0" fontId="10" fillId="3" borderId="15" xfId="1" applyFont="1" applyFill="1" applyBorder="1" applyAlignment="1" applyProtection="1">
      <alignment horizontal="center" vertical="center"/>
    </xf>
    <xf numFmtId="0" fontId="10" fillId="3" borderId="16" xfId="1" applyFont="1" applyFill="1" applyBorder="1" applyAlignment="1" applyProtection="1">
      <alignment horizontal="center" vertical="center"/>
    </xf>
    <xf numFmtId="0" fontId="10" fillId="3" borderId="17" xfId="1" applyFont="1" applyFill="1" applyBorder="1" applyAlignment="1" applyProtection="1">
      <alignment horizontal="center" vertical="center"/>
    </xf>
    <xf numFmtId="0" fontId="10" fillId="3" borderId="18" xfId="1" applyFont="1" applyFill="1" applyBorder="1" applyAlignment="1" applyProtection="1">
      <alignment horizontal="center" vertical="center"/>
    </xf>
    <xf numFmtId="0" fontId="10" fillId="3" borderId="22" xfId="1" applyFont="1" applyFill="1" applyBorder="1" applyAlignment="1" applyProtection="1">
      <alignment horizontal="center" vertical="center"/>
    </xf>
    <xf numFmtId="0" fontId="10" fillId="2" borderId="0" xfId="1" applyFont="1" applyFill="1" applyAlignment="1" applyProtection="1">
      <alignment horizontal="center" vertical="center"/>
    </xf>
    <xf numFmtId="176" fontId="14" fillId="2" borderId="1" xfId="1" applyNumberFormat="1" applyFont="1" applyFill="1" applyBorder="1" applyAlignment="1" applyProtection="1">
      <alignment vertical="center" shrinkToFit="1"/>
      <protection locked="0"/>
    </xf>
    <xf numFmtId="176" fontId="10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vertical="center"/>
    </xf>
    <xf numFmtId="0" fontId="10" fillId="3" borderId="8" xfId="1" quotePrefix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9" fillId="0" borderId="20" xfId="1" applyFont="1" applyBorder="1" applyAlignment="1" applyProtection="1">
      <alignment vertical="center"/>
    </xf>
    <xf numFmtId="12" fontId="10" fillId="0" borderId="0" xfId="1" applyNumberFormat="1" applyFont="1" applyFill="1" applyAlignment="1" applyProtection="1">
      <alignment horizontal="center" vertical="center"/>
    </xf>
    <xf numFmtId="176" fontId="16" fillId="0" borderId="20" xfId="1" applyNumberFormat="1" applyFont="1" applyBorder="1" applyAlignment="1" applyProtection="1">
      <alignment vertical="center"/>
    </xf>
    <xf numFmtId="176" fontId="11" fillId="0" borderId="21" xfId="1" applyNumberFormat="1" applyFont="1" applyFill="1" applyBorder="1" applyAlignment="1" applyProtection="1">
      <alignment vertical="center" shrinkToFit="1"/>
    </xf>
    <xf numFmtId="176" fontId="11" fillId="0" borderId="19" xfId="1" applyNumberFormat="1" applyFont="1" applyFill="1" applyBorder="1" applyAlignment="1" applyProtection="1">
      <alignment vertical="center" shrinkToFit="1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6" xfId="1" applyNumberFormat="1" applyFont="1" applyFill="1" applyBorder="1" applyAlignment="1" applyProtection="1">
      <alignment vertical="center"/>
    </xf>
    <xf numFmtId="176" fontId="11" fillId="0" borderId="2" xfId="1" applyNumberFormat="1" applyFont="1" applyFill="1" applyBorder="1" applyAlignment="1" applyProtection="1">
      <alignment vertical="center"/>
    </xf>
    <xf numFmtId="176" fontId="11" fillId="0" borderId="4" xfId="1" applyNumberFormat="1" applyFont="1" applyFill="1" applyBorder="1" applyAlignment="1" applyProtection="1">
      <alignment vertical="center"/>
    </xf>
    <xf numFmtId="176" fontId="11" fillId="3" borderId="10" xfId="1" applyNumberFormat="1" applyFont="1" applyFill="1" applyBorder="1" applyAlignment="1" applyProtection="1">
      <alignment vertical="center"/>
    </xf>
    <xf numFmtId="176" fontId="11" fillId="3" borderId="11" xfId="1" applyNumberFormat="1" applyFont="1" applyFill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left" vertical="center" shrinkToFit="1"/>
    </xf>
    <xf numFmtId="0" fontId="9" fillId="3" borderId="12" xfId="0" applyFont="1" applyFill="1" applyBorder="1" applyAlignment="1" applyProtection="1">
      <alignment horizontal="left" vertical="center" shrinkToFit="1"/>
    </xf>
    <xf numFmtId="0" fontId="9" fillId="3" borderId="11" xfId="0" applyFont="1" applyFill="1" applyBorder="1" applyAlignment="1" applyProtection="1">
      <alignment horizontal="left" vertical="center" shrinkToFit="1"/>
    </xf>
    <xf numFmtId="176" fontId="11" fillId="0" borderId="21" xfId="1" applyNumberFormat="1" applyFont="1" applyFill="1" applyBorder="1" applyAlignment="1" applyProtection="1">
      <alignment vertical="center"/>
    </xf>
    <xf numFmtId="176" fontId="11" fillId="0" borderId="19" xfId="1" applyNumberFormat="1" applyFont="1" applyFill="1" applyBorder="1" applyAlignment="1" applyProtection="1">
      <alignment vertical="center"/>
    </xf>
    <xf numFmtId="0" fontId="19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top"/>
    </xf>
    <xf numFmtId="0" fontId="10" fillId="0" borderId="0" xfId="1" applyFont="1" applyAlignment="1" applyProtection="1">
      <alignment vertical="top"/>
    </xf>
    <xf numFmtId="181" fontId="10" fillId="2" borderId="0" xfId="1" applyNumberFormat="1" applyFont="1" applyFill="1" applyAlignment="1" applyProtection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99FF"/>
      <color rgb="FF66CCFF"/>
      <color rgb="FFFF9999"/>
      <color rgb="FFFFFFCC"/>
      <color rgb="FFCC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353785</xdr:colOff>
      <xdr:row>8</xdr:row>
      <xdr:rowOff>149678</xdr:rowOff>
    </xdr:from>
    <xdr:to>
      <xdr:col>11</xdr:col>
      <xdr:colOff>544285</xdr:colOff>
      <xdr:row>9</xdr:row>
      <xdr:rowOff>246321</xdr:rowOff>
    </xdr:to>
    <xdr:cxnSp macro="">
      <xdr:nvCxnSpPr>
        <xdr:cNvPr id="3" name="カギ線コネクタ 2"/>
        <xdr:cNvCxnSpPr/>
      </xdr:nvCxnSpPr>
      <xdr:spPr>
        <a:xfrm rot="5400000">
          <a:off x="5629938" y="2293500"/>
          <a:ext cx="401443" cy="190500"/>
        </a:xfrm>
        <a:prstGeom prst="bentConnector3">
          <a:avLst>
            <a:gd name="adj1" fmla="val 0"/>
          </a:avLst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defaultRowHeight="15.75" x14ac:dyDescent="0.25"/>
  <cols>
    <col min="1" max="1" width="15.6640625" bestFit="1" customWidth="1"/>
    <col min="2" max="2" width="16.44140625" bestFit="1" customWidth="1"/>
  </cols>
  <sheetData>
    <row r="1" spans="1:3" x14ac:dyDescent="0.25">
      <c r="A1" s="1" t="s">
        <v>13</v>
      </c>
      <c r="B1" s="1" t="s">
        <v>14</v>
      </c>
      <c r="C1" s="1" t="s">
        <v>15</v>
      </c>
    </row>
    <row r="2" spans="1:3" x14ac:dyDescent="0.25">
      <c r="A2" t="s">
        <v>8</v>
      </c>
      <c r="B2" t="s">
        <v>10</v>
      </c>
      <c r="C2" t="s">
        <v>0</v>
      </c>
    </row>
    <row r="3" spans="1:3" x14ac:dyDescent="0.25">
      <c r="A3" t="s">
        <v>7</v>
      </c>
      <c r="B3" t="s">
        <v>11</v>
      </c>
      <c r="C3" t="s">
        <v>1</v>
      </c>
    </row>
    <row r="4" spans="1:3" x14ac:dyDescent="0.25">
      <c r="A4" t="s">
        <v>6</v>
      </c>
      <c r="B4" t="s">
        <v>12</v>
      </c>
      <c r="C4" t="s">
        <v>16</v>
      </c>
    </row>
    <row r="5" spans="1:3" x14ac:dyDescent="0.25">
      <c r="A5" t="s">
        <v>9</v>
      </c>
      <c r="C5" t="s">
        <v>2</v>
      </c>
    </row>
    <row r="6" spans="1:3" x14ac:dyDescent="0.25">
      <c r="C6" t="s">
        <v>3</v>
      </c>
    </row>
    <row r="7" spans="1:3" x14ac:dyDescent="0.25">
      <c r="C7" t="s">
        <v>4</v>
      </c>
    </row>
    <row r="8" spans="1:3" x14ac:dyDescent="0.25">
      <c r="C8" t="s">
        <v>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S63"/>
  <sheetViews>
    <sheetView tabSelected="1" topLeftCell="C1" zoomScale="55" zoomScaleNormal="55" zoomScaleSheetLayoutView="70" workbookViewId="0">
      <selection activeCell="P4" sqref="P4"/>
    </sheetView>
  </sheetViews>
  <sheetFormatPr defaultRowHeight="18" customHeight="1" x14ac:dyDescent="0.25"/>
  <cols>
    <col min="1" max="2" width="8.88671875" style="3" hidden="1" customWidth="1"/>
    <col min="3" max="3" width="4.33203125" style="3" customWidth="1"/>
    <col min="4" max="5" width="8.88671875" style="3" customWidth="1"/>
    <col min="6" max="17" width="6.77734375" style="3" customWidth="1"/>
    <col min="18" max="19" width="8.77734375" style="3" customWidth="1"/>
    <col min="20" max="20" width="8.88671875" style="3" customWidth="1"/>
    <col min="21" max="16384" width="8.88671875" style="3"/>
  </cols>
  <sheetData>
    <row r="1" spans="3:19" s="5" customFormat="1" ht="36.75" customHeight="1" x14ac:dyDescent="0.25">
      <c r="D1" s="6" t="s">
        <v>68</v>
      </c>
    </row>
    <row r="2" spans="3:19" s="4" customFormat="1" ht="16.5" thickBot="1" x14ac:dyDescent="0.3"/>
    <row r="3" spans="3:19" s="4" customFormat="1" ht="23.25" customHeight="1" thickTop="1" thickBot="1" x14ac:dyDescent="0.3">
      <c r="C3" s="50"/>
      <c r="D3" s="51" t="s">
        <v>17</v>
      </c>
      <c r="E3" s="83"/>
      <c r="F3" s="84"/>
      <c r="G3" s="84"/>
      <c r="H3" s="85"/>
      <c r="I3" s="50"/>
      <c r="J3" s="50"/>
      <c r="K3" s="50"/>
      <c r="L3" s="50"/>
      <c r="M3" s="50"/>
      <c r="N3" s="52"/>
      <c r="O3" s="53"/>
      <c r="P3" s="54" t="s">
        <v>50</v>
      </c>
      <c r="Q3" s="50"/>
      <c r="R3" s="50"/>
    </row>
    <row r="4" spans="3:19" ht="18" customHeight="1" thickTop="1" x14ac:dyDescent="0.25">
      <c r="C4" s="2"/>
    </row>
    <row r="5" spans="3:19" ht="18" customHeight="1" thickBot="1" x14ac:dyDescent="0.3">
      <c r="D5" s="30" t="s">
        <v>18</v>
      </c>
    </row>
    <row r="6" spans="3:19" ht="24" hidden="1" customHeight="1" thickTop="1" thickBot="1" x14ac:dyDescent="0.3">
      <c r="C6" s="2"/>
      <c r="D6" s="11" t="s">
        <v>20</v>
      </c>
      <c r="E6" s="12"/>
      <c r="F6" s="13"/>
      <c r="G6" s="13"/>
      <c r="H6" s="61">
        <v>1</v>
      </c>
      <c r="I6" s="7" t="s">
        <v>19</v>
      </c>
      <c r="J6" s="23" t="s">
        <v>23</v>
      </c>
      <c r="K6" s="43">
        <f>IF(H6&lt;=4,2/3,1/3)</f>
        <v>0.66666666666666663</v>
      </c>
      <c r="L6" s="71" t="str">
        <f>IF(H6&lt;=4,"2/3","1/3")</f>
        <v>2/3</v>
      </c>
    </row>
    <row r="7" spans="3:19" ht="24" customHeight="1" thickTop="1" thickBot="1" x14ac:dyDescent="0.3">
      <c r="C7" s="2"/>
      <c r="D7" s="11" t="s">
        <v>69</v>
      </c>
      <c r="E7" s="15"/>
      <c r="F7" s="13"/>
      <c r="G7" s="13"/>
      <c r="H7" s="66"/>
      <c r="I7" s="17" t="s">
        <v>51</v>
      </c>
      <c r="J7" s="67" t="s">
        <v>57</v>
      </c>
      <c r="K7" s="62">
        <f>12-(IF(H7=1,13,IF(H7=2,14,IF(H7=3,15,H7)))-4)</f>
        <v>16</v>
      </c>
    </row>
    <row r="8" spans="3:19" ht="24" customHeight="1" thickTop="1" thickBot="1" x14ac:dyDescent="0.3">
      <c r="C8" s="2"/>
      <c r="D8" s="11" t="s">
        <v>64</v>
      </c>
      <c r="E8" s="15"/>
      <c r="F8" s="13"/>
      <c r="G8" s="13"/>
      <c r="H8" s="66"/>
      <c r="I8" s="17" t="s">
        <v>52</v>
      </c>
      <c r="J8" s="65"/>
      <c r="K8" s="62">
        <f>IF($H8&gt;=4,4,$H8)</f>
        <v>0</v>
      </c>
    </row>
    <row r="9" spans="3:19" ht="24" customHeight="1" thickTop="1" thickBot="1" x14ac:dyDescent="0.3">
      <c r="C9" s="2"/>
      <c r="D9" s="11" t="s">
        <v>54</v>
      </c>
      <c r="E9" s="15"/>
      <c r="F9" s="13"/>
      <c r="G9" s="13"/>
      <c r="H9" s="66"/>
      <c r="I9" s="17" t="s">
        <v>52</v>
      </c>
      <c r="J9" s="65"/>
      <c r="K9" s="62">
        <f>IF($H9&gt;=4,4,$H9)</f>
        <v>0</v>
      </c>
      <c r="M9" s="49" t="s">
        <v>72</v>
      </c>
      <c r="N9" s="49"/>
      <c r="O9" s="88"/>
      <c r="P9" s="88" t="s">
        <v>70</v>
      </c>
      <c r="Q9" s="49" t="s">
        <v>73</v>
      </c>
    </row>
    <row r="10" spans="3:19" ht="24" customHeight="1" thickTop="1" x14ac:dyDescent="0.25">
      <c r="C10" s="2"/>
      <c r="D10" s="11" t="s">
        <v>62</v>
      </c>
      <c r="E10" s="15"/>
      <c r="F10" s="13"/>
      <c r="G10" s="14"/>
      <c r="H10" s="17"/>
      <c r="I10" s="18"/>
      <c r="M10" s="89" t="s">
        <v>74</v>
      </c>
      <c r="N10" s="90"/>
    </row>
    <row r="11" spans="3:19" ht="16.5" thickBot="1" x14ac:dyDescent="0.3">
      <c r="C11" s="2"/>
      <c r="D11" s="10"/>
      <c r="E11" s="9"/>
      <c r="F11" s="37">
        <v>4</v>
      </c>
      <c r="G11" s="38">
        <v>5</v>
      </c>
      <c r="H11" s="37">
        <v>6</v>
      </c>
      <c r="I11" s="38">
        <v>7</v>
      </c>
      <c r="J11" s="37">
        <v>8</v>
      </c>
      <c r="K11" s="38">
        <v>9</v>
      </c>
      <c r="L11" s="37">
        <v>10</v>
      </c>
      <c r="M11" s="38">
        <v>11</v>
      </c>
      <c r="N11" s="37">
        <v>12</v>
      </c>
      <c r="O11" s="39">
        <v>1</v>
      </c>
      <c r="P11" s="39">
        <v>2</v>
      </c>
      <c r="Q11" s="39">
        <v>3</v>
      </c>
      <c r="R11" s="22" t="s">
        <v>24</v>
      </c>
      <c r="S11" s="23" t="s">
        <v>71</v>
      </c>
    </row>
    <row r="12" spans="3:19" ht="24" customHeight="1" thickTop="1" x14ac:dyDescent="0.25">
      <c r="C12" s="2"/>
      <c r="D12" s="81" t="s">
        <v>21</v>
      </c>
      <c r="E12" s="82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  <c r="R12" s="34">
        <f>IF(MAX(F12:Q12)&gt;=4,4,MAX(F12:Q12))</f>
        <v>0</v>
      </c>
      <c r="S12" s="91">
        <f>SUM(F12:Q12)</f>
        <v>0</v>
      </c>
    </row>
    <row r="13" spans="3:19" ht="24" customHeight="1" thickBot="1" x14ac:dyDescent="0.3">
      <c r="C13" s="2"/>
      <c r="D13" s="81" t="s">
        <v>22</v>
      </c>
      <c r="E13" s="82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34">
        <f>IF(MAX(F13:Q13)&gt;=4,4,MAX(F13:Q13))</f>
        <v>0</v>
      </c>
      <c r="S13" s="91">
        <f>SUM(F13:Q13)</f>
        <v>0</v>
      </c>
    </row>
    <row r="14" spans="3:19" ht="18" customHeight="1" thickTop="1" x14ac:dyDescent="0.25">
      <c r="C14" s="2"/>
      <c r="R14" s="27" t="s">
        <v>38</v>
      </c>
      <c r="S14" s="33"/>
    </row>
    <row r="15" spans="3:19" ht="23.25" customHeight="1" x14ac:dyDescent="0.25">
      <c r="C15" s="2"/>
      <c r="D15" s="7" t="s">
        <v>53</v>
      </c>
    </row>
    <row r="16" spans="3:19" ht="16.5" x14ac:dyDescent="0.25">
      <c r="C16" s="2"/>
      <c r="D16" s="49" t="s">
        <v>21</v>
      </c>
      <c r="Q16" s="19" t="s">
        <v>37</v>
      </c>
    </row>
    <row r="17" spans="1:19" ht="18" customHeight="1" x14ac:dyDescent="0.25">
      <c r="D17" s="21" t="s">
        <v>25</v>
      </c>
      <c r="E17" s="21" t="s">
        <v>26</v>
      </c>
      <c r="F17" s="24">
        <v>4</v>
      </c>
      <c r="G17" s="24">
        <v>5</v>
      </c>
      <c r="H17" s="24">
        <v>6</v>
      </c>
      <c r="I17" s="24">
        <v>7</v>
      </c>
      <c r="J17" s="24">
        <v>8</v>
      </c>
      <c r="K17" s="24">
        <v>9</v>
      </c>
      <c r="L17" s="24">
        <v>10</v>
      </c>
      <c r="M17" s="24">
        <v>11</v>
      </c>
      <c r="N17" s="24">
        <v>12</v>
      </c>
      <c r="O17" s="24">
        <v>1</v>
      </c>
      <c r="P17" s="24">
        <v>2</v>
      </c>
      <c r="Q17" s="24">
        <v>3</v>
      </c>
      <c r="R17" s="20" t="s">
        <v>39</v>
      </c>
    </row>
    <row r="18" spans="1:19" ht="18" customHeight="1" x14ac:dyDescent="0.25">
      <c r="A18" s="3">
        <v>1</v>
      </c>
      <c r="B18" s="3">
        <v>0</v>
      </c>
      <c r="D18" s="25" t="s">
        <v>27</v>
      </c>
      <c r="E18" s="26">
        <v>12500</v>
      </c>
      <c r="F18" s="63" t="str">
        <f>IF($K$7&lt;12,"",IF(AND($R$12=1,F$12=0),$E18,IF(AND($R$12=0,$K$8=1),$E18,"")))</f>
        <v/>
      </c>
      <c r="G18" s="63" t="str">
        <f>IF($K$7&lt;11,"",IF(AND($R$12=1,G$12=0),$E18,IF(AND($R$12=0,$K$8=1),$E18,"")))</f>
        <v/>
      </c>
      <c r="H18" s="63" t="str">
        <f>IF($K$7&lt;10,"",IF(AND($R$12=1,H$12=0),$E18,IF(AND($R$12=0,$K$8=1),$E18,"")))</f>
        <v/>
      </c>
      <c r="I18" s="63" t="str">
        <f>IF($K$7&lt;9,"",IF(AND($R$12=1,I$12=0),$E18,IF(AND($R$12=0,$K$8=1),$E18,"")))</f>
        <v/>
      </c>
      <c r="J18" s="63" t="str">
        <f>IF($K$7&lt;8,"",IF(AND($R$12=1,J$12=0),$E18,IF(AND($R$12=0,$K$8=1),$E18,"")))</f>
        <v/>
      </c>
      <c r="K18" s="63" t="str">
        <f>IF($K$7&lt;7,"",IF(AND($R$12=1,K$12=0),$E18,IF(AND($R$12=0,$K$8=1),$E18,"")))</f>
        <v/>
      </c>
      <c r="L18" s="63" t="str">
        <f>IF($K$7&lt;6,"",IF(AND($R$12=1,L$12=0),$E18,IF(AND($R$12=0,$K$8=1),$E18,"")))</f>
        <v/>
      </c>
      <c r="M18" s="63" t="str">
        <f>IF($K$7&lt;5,"",IF(AND($R$12=1,M$12=0),$E18,IF(AND($R$12=0,$K$8=1),$E18,"")))</f>
        <v/>
      </c>
      <c r="N18" s="63" t="str">
        <f>IF($K$7&lt;4,"",IF(AND($R$12=1,N$12=0),$E18,IF(AND($R$12=0,$K$8=1),$E18,"")))</f>
        <v/>
      </c>
      <c r="O18" s="63" t="str">
        <f>IF($K$7&lt;3,"",IF(AND($R$12=1,O$12=0),$E18,IF(AND($R$12=0,$K$8=1),$E18,"")))</f>
        <v/>
      </c>
      <c r="P18" s="63" t="str">
        <f>IF($K$7&lt;2,"",IF(AND($R$12=1,P$12=0),$E18,IF(AND($R$12=0,$K$8=1),$E18,"")))</f>
        <v/>
      </c>
      <c r="Q18" s="63" t="str">
        <f>IF($K$7&lt;1,"",IF(AND($R$12=1,Q$12=0),$E18,IF(AND($R$12=0,$K$8=1),$E18,"")))</f>
        <v/>
      </c>
      <c r="R18" s="28">
        <f>SUM(F18:Q18)</f>
        <v>0</v>
      </c>
    </row>
    <row r="19" spans="1:19" ht="18" customHeight="1" x14ac:dyDescent="0.25">
      <c r="A19" s="3">
        <v>2</v>
      </c>
      <c r="B19" s="3">
        <v>0</v>
      </c>
      <c r="D19" s="25" t="s">
        <v>28</v>
      </c>
      <c r="E19" s="26">
        <v>25000</v>
      </c>
      <c r="F19" s="63" t="str">
        <f>IF($K$7&lt;12,"",IF(AND($R$12=2,F$12=0),$E19,IF(AND($R$12=0,$K$8=2),$E19,"")))</f>
        <v/>
      </c>
      <c r="G19" s="63" t="str">
        <f>IF($K$7&lt;11,"",IF(AND($R$12=2,G$12=0),$E19,IF(AND($R$12=0,$K$8=2),$E19,"")))</f>
        <v/>
      </c>
      <c r="H19" s="63" t="str">
        <f>IF($K$7&lt;10,"",IF(AND($R$12=2,H$12=0),$E19,IF(AND($R$12=0,$K$8=2),$E19,"")))</f>
        <v/>
      </c>
      <c r="I19" s="63" t="str">
        <f>IF($K$7&lt;9,"",IF(AND($R$12=2,I$12=0),$E19,IF(AND($R$12=0,$K$8=2),$E19,"")))</f>
        <v/>
      </c>
      <c r="J19" s="63" t="str">
        <f>IF($K$7&lt;8,"",IF(AND($R$12=2,J$12=0),$E19,IF(AND($R$12=0,$K$8=2),$E19,"")))</f>
        <v/>
      </c>
      <c r="K19" s="63" t="str">
        <f>IF($K$7&lt;7,"",IF(AND($R$12=2,K$12=0),$E19,IF(AND($R$12=0,$K$8=2),$E19,"")))</f>
        <v/>
      </c>
      <c r="L19" s="63" t="str">
        <f>IF($K$7&lt;6,"",IF(AND($R$12=2,L$12=0),$E19,IF(AND($R$12=0,$K$8=2),$E19,"")))</f>
        <v/>
      </c>
      <c r="M19" s="63" t="str">
        <f>IF($K$7&lt;5,"",IF(AND($R$12=2,M$12=0),$E19,IF(AND($R$12=0,$K$8=2),$E19,"")))</f>
        <v/>
      </c>
      <c r="N19" s="63" t="str">
        <f>IF($K$7&lt;4,"",IF(AND($R$12=2,N$12=0),$E19,IF(AND($R$12=0,$K$8=2),$E19,"")))</f>
        <v/>
      </c>
      <c r="O19" s="63" t="str">
        <f>IF($K$7&lt;3,"",IF(AND($R$12=2,O$12=0),$E19,IF(AND($R$12=0,$K$8=2),$E19,"")))</f>
        <v/>
      </c>
      <c r="P19" s="63" t="str">
        <f>IF($K$7&lt;2,"",IF(AND($R$12=2,P$12=0),$E19,IF(AND($R$12=0,$K$8=2),$E19,"")))</f>
        <v/>
      </c>
      <c r="Q19" s="63" t="str">
        <f>IF($K$7&lt;1,"",IF(AND($R$12=2,Q$12=0),$E19,IF(AND($R$12=0,$K$8=2),$E19,"")))</f>
        <v/>
      </c>
      <c r="R19" s="28">
        <f t="shared" ref="R19:R27" si="0">SUM(F19:Q19)</f>
        <v>0</v>
      </c>
    </row>
    <row r="20" spans="1:19" ht="18" customHeight="1" x14ac:dyDescent="0.25">
      <c r="A20" s="3">
        <v>2</v>
      </c>
      <c r="B20" s="3">
        <v>1</v>
      </c>
      <c r="D20" s="25" t="s">
        <v>29</v>
      </c>
      <c r="E20" s="26">
        <v>12500</v>
      </c>
      <c r="F20" s="63" t="str">
        <f>IF($K$7&lt;12,"",IF(AND($R$12=2,F$12=1),$E20,IF(AND($R$12=1,$K$8=2),$E20,"")))</f>
        <v/>
      </c>
      <c r="G20" s="63" t="str">
        <f>IF($K$7&lt;11,"",IF(AND($R$12=2,G$12=1),$E20,IF(AND($R$12=1,$K$8=2),$E20,"")))</f>
        <v/>
      </c>
      <c r="H20" s="63" t="str">
        <f>IF($K$7&lt;10,"",IF(AND($R$12=2,H$12=1),$E20,IF(AND($R$12=1,$K$8=2),$E20,"")))</f>
        <v/>
      </c>
      <c r="I20" s="63" t="str">
        <f>IF($K$7&lt;9,"",IF(AND($R$12=2,I$12=1),$E20,IF(AND($R$12=1,$K$8=2),$E20,"")))</f>
        <v/>
      </c>
      <c r="J20" s="63" t="str">
        <f>IF($K$7&lt;8,"",IF(AND($R$12=2,J$12=1),$E20,IF(AND($R$12=1,$K$8=2),$E20,"")))</f>
        <v/>
      </c>
      <c r="K20" s="63" t="str">
        <f>IF($K$7&lt;7,"",IF(AND($R$12=2,K$12=1),$E20,IF(AND($R$12=1,$K$8=2),$E20,"")))</f>
        <v/>
      </c>
      <c r="L20" s="63" t="str">
        <f>IF($K$7&lt;6,"",IF(AND($R$12=2,L$12=1),$E20,IF(AND($R$12=1,$K$8=2),$E20,"")))</f>
        <v/>
      </c>
      <c r="M20" s="63" t="str">
        <f>IF($K$7&lt;5,"",IF(AND($R$12=2,M$12=1),$E20,IF(AND($R$12=1,$K$8=2),$E20,"")))</f>
        <v/>
      </c>
      <c r="N20" s="63" t="str">
        <f>IF($K$7&lt;4,"",IF(AND($R$12=2,N$12=1),$E20,IF(AND($R$12=1,$K$8=2),$E20,"")))</f>
        <v/>
      </c>
      <c r="O20" s="63" t="str">
        <f>IF($K$7&lt;3,"",IF(AND($R$12=2,O$12=1),$E20,IF(AND($R$12=1,$K$8=2),$E20,"")))</f>
        <v/>
      </c>
      <c r="P20" s="63" t="str">
        <f>IF($K$7&lt;2,"",IF(AND($R$12=2,P$12=1),$E20,IF(AND($R$12=1,$K$8=2),$E20,"")))</f>
        <v/>
      </c>
      <c r="Q20" s="63" t="str">
        <f>IF($K$7&lt;1,"",IF(AND($R$12=2,Q$12=1),$E20,IF(AND($R$12=1,$K$8=2),$E20,"")))</f>
        <v/>
      </c>
      <c r="R20" s="28">
        <f t="shared" si="0"/>
        <v>0</v>
      </c>
    </row>
    <row r="21" spans="1:19" ht="18" customHeight="1" x14ac:dyDescent="0.25">
      <c r="A21" s="3">
        <v>3</v>
      </c>
      <c r="B21" s="3">
        <v>0</v>
      </c>
      <c r="D21" s="25" t="s">
        <v>30</v>
      </c>
      <c r="E21" s="26">
        <v>37500</v>
      </c>
      <c r="F21" s="63" t="str">
        <f>IF($K$7&lt;12,"",IF(AND($R$12=3,F$12=0),$E21,IF(AND($R$12=0,$K$8=3),$E21,"")))</f>
        <v/>
      </c>
      <c r="G21" s="63" t="str">
        <f>IF($K$7&lt;11,"",IF(AND($R$12=3,G$12=0),$E21,IF(AND($R$12=0,$K$8=3),$E21,"")))</f>
        <v/>
      </c>
      <c r="H21" s="63" t="str">
        <f>IF($K$7&lt;10,"",IF(AND($R$12=3,H$12=0),$E21,IF(AND($R$12=0,$K$8=3),$E21,"")))</f>
        <v/>
      </c>
      <c r="I21" s="63" t="str">
        <f>IF($K$7&lt;9,"",IF(AND($R$12=3,I$12=0),$E21,IF(AND($R$12=0,$K$8=3),$E21,"")))</f>
        <v/>
      </c>
      <c r="J21" s="63" t="str">
        <f>IF($K$7&lt;8,"",IF(AND($R$12=3,J$12=0),$E21,IF(AND($R$12=0,$K$8=3),$E21,"")))</f>
        <v/>
      </c>
      <c r="K21" s="63" t="str">
        <f>IF($K$7&lt;7,"",IF(AND($R$12=3,K$12=0),$E21,IF(AND($R$12=0,$K$8=3),$E21,"")))</f>
        <v/>
      </c>
      <c r="L21" s="63" t="str">
        <f>IF($K$7&lt;6,"",IF(AND($R$12=3,L$12=0),$E21,IF(AND($R$12=0,$K$8=3),$E21,"")))</f>
        <v/>
      </c>
      <c r="M21" s="63" t="str">
        <f>IF($K$7&lt;5,"",IF(AND($R$12=3,M$12=0),$E21,IF(AND($R$12=0,$K$8=3),$E21,"")))</f>
        <v/>
      </c>
      <c r="N21" s="63" t="str">
        <f>IF($K$7&lt;4,"",IF(AND($R$12=3,N$12=0),$E21,IF(AND($R$12=0,$K$8=3),$E21,"")))</f>
        <v/>
      </c>
      <c r="O21" s="63" t="str">
        <f>IF($K$7&lt;3,"",IF(AND($R$12=3,O$12=0),$E21,IF(AND($R$12=0,$K$8=3),$E21,"")))</f>
        <v/>
      </c>
      <c r="P21" s="63" t="str">
        <f>IF($K$7&lt;2,"",IF(AND($R$12=3,P$12=0),$E21,IF(AND($R$12=0,$K$8=3),$E21,"")))</f>
        <v/>
      </c>
      <c r="Q21" s="63" t="str">
        <f>IF($K$7&lt;1,"",IF(AND($R$12=3,Q$12=0),$E21,IF(AND($R$12=0,$K$8=3),$E21,"")))</f>
        <v/>
      </c>
      <c r="R21" s="28">
        <f t="shared" si="0"/>
        <v>0</v>
      </c>
    </row>
    <row r="22" spans="1:19" ht="18" customHeight="1" x14ac:dyDescent="0.25">
      <c r="A22" s="3">
        <v>3</v>
      </c>
      <c r="B22" s="3">
        <v>1</v>
      </c>
      <c r="D22" s="25" t="s">
        <v>31</v>
      </c>
      <c r="E22" s="26">
        <v>25000</v>
      </c>
      <c r="F22" s="63" t="str">
        <f>IF($K$7&lt;12,"",IF(AND($R$12=3,F$12=1),$E22,IF(AND($R$12=1,$K$8=3),$E22,"")))</f>
        <v/>
      </c>
      <c r="G22" s="63" t="str">
        <f>IF($K$7&lt;11,"",IF(AND($R$12=3,G$12=1),$E22,IF(AND($R$12=1,$K$8=3),$E22,"")))</f>
        <v/>
      </c>
      <c r="H22" s="63" t="str">
        <f>IF($K$7&lt;10,"",IF(AND($R$12=3,H$12=1),$E22,IF(AND($R$12=1,$K$8=3),$E22,"")))</f>
        <v/>
      </c>
      <c r="I22" s="63" t="str">
        <f>IF($K$7&lt;9,"",IF(AND($R$12=3,I$12=1),$E22,IF(AND($R$12=1,$K$8=3),$E22,"")))</f>
        <v/>
      </c>
      <c r="J22" s="63" t="str">
        <f>IF($K$7&lt;8,"",IF(AND($R$12=3,J$12=1),$E22,IF(AND($R$12=1,$K$8=3),$E22,"")))</f>
        <v/>
      </c>
      <c r="K22" s="63" t="str">
        <f>IF($K$7&lt;7,"",IF(AND($R$12=3,K$12=1),$E22,IF(AND($R$12=1,$K$8=3),$E22,"")))</f>
        <v/>
      </c>
      <c r="L22" s="63" t="str">
        <f>IF($K$7&lt;6,"",IF(AND($R$12=3,L$12=1),$E22,IF(AND($R$12=1,$K$8=3),$E22,"")))</f>
        <v/>
      </c>
      <c r="M22" s="63" t="str">
        <f>IF($K$7&lt;5,"",IF(AND($R$12=3,M$12=1),$E22,IF(AND($R$12=1,$K$8=3),$E22,"")))</f>
        <v/>
      </c>
      <c r="N22" s="63" t="str">
        <f>IF($K$7&lt;4,"",IF(AND($R$12=3,N$12=1),$E22,IF(AND($R$12=1,$K$8=3),$E22,"")))</f>
        <v/>
      </c>
      <c r="O22" s="63" t="str">
        <f>IF($K$7&lt;3,"",IF(AND($R$12=3,O$12=1),$E22,IF(AND($R$12=1,$K$8=3),$E22,"")))</f>
        <v/>
      </c>
      <c r="P22" s="63" t="str">
        <f>IF($K$7&lt;2,"",IF(AND($R$12=3,P$12=1),$E22,IF(AND($R$12=1,$K$8=3),$E22,"")))</f>
        <v/>
      </c>
      <c r="Q22" s="63" t="str">
        <f>IF($K$7&lt;1,"",IF(AND($R$12=3,Q$12=1),$E22,IF(AND($R$12=1,$K$8=3),$E22,"")))</f>
        <v/>
      </c>
      <c r="R22" s="28">
        <f t="shared" si="0"/>
        <v>0</v>
      </c>
    </row>
    <row r="23" spans="1:19" ht="18" customHeight="1" x14ac:dyDescent="0.25">
      <c r="A23" s="3">
        <v>3</v>
      </c>
      <c r="B23" s="3">
        <v>2</v>
      </c>
      <c r="D23" s="25" t="s">
        <v>32</v>
      </c>
      <c r="E23" s="26">
        <v>12500</v>
      </c>
      <c r="F23" s="63" t="str">
        <f>IF($K$7&lt;12,"",IF(AND($R$12=3,F$12=2),$E23,IF(AND($R$12=2,$K$8=3),$E23,"")))</f>
        <v/>
      </c>
      <c r="G23" s="63" t="str">
        <f>IF($K$7&lt;11,"",IF(AND($R$12=3,G$12=2),$E23,IF(AND($R$12=2,$K$8=3),$E23,"")))</f>
        <v/>
      </c>
      <c r="H23" s="63" t="str">
        <f>IF($K$7&lt;10,"",IF(AND($R$12=3,H$12=2),$E23,IF(AND($R$12=2,$K$8=3),$E23,"")))</f>
        <v/>
      </c>
      <c r="I23" s="63" t="str">
        <f>IF($K$7&lt;9,"",IF(AND($R$12=3,I$12=2),$E23,IF(AND($R$12=2,$K$8=3),$E23,"")))</f>
        <v/>
      </c>
      <c r="J23" s="63" t="str">
        <f>IF($K$7&lt;8,"",IF(AND($R$12=3,J$12=2),$E23,IF(AND($R$12=2,$K$8=3),$E23,"")))</f>
        <v/>
      </c>
      <c r="K23" s="63" t="str">
        <f>IF($K$7&lt;7,"",IF(AND($R$12=3,K$12=2),$E23,IF(AND($R$12=2,$K$8=3),$E23,"")))</f>
        <v/>
      </c>
      <c r="L23" s="63" t="str">
        <f>IF($K$7&lt;6,"",IF(AND($R$12=3,L$12=2),$E23,IF(AND($R$12=2,$K$8=3),$E23,"")))</f>
        <v/>
      </c>
      <c r="M23" s="63" t="str">
        <f>IF($K$7&lt;5,"",IF(AND($R$12=3,M$12=2),$E23,IF(AND($R$12=2,$K$8=3),$E23,"")))</f>
        <v/>
      </c>
      <c r="N23" s="63" t="str">
        <f>IF($K$7&lt;4,"",IF(AND($R$12=3,N$12=2),$E23,IF(AND($R$12=2,$K$8=3),$E23,"")))</f>
        <v/>
      </c>
      <c r="O23" s="63" t="str">
        <f>IF($K$7&lt;3,"",IF(AND($R$12=3,O$12=2),$E23,IF(AND($R$12=2,$K$8=3),$E23,"")))</f>
        <v/>
      </c>
      <c r="P23" s="63" t="str">
        <f>IF($K$7&lt;2,"",IF(AND($R$12=3,P$12=2),$E23,IF(AND($R$12=2,$K$8=3),$E23,"")))</f>
        <v/>
      </c>
      <c r="Q23" s="63" t="str">
        <f>IF($K$7&lt;1,"",IF(AND($R$12=3,Q$12=2),$E23,IF(AND($R$12=2,$K$8=3),$E23,"")))</f>
        <v/>
      </c>
      <c r="R23" s="28">
        <f t="shared" si="0"/>
        <v>0</v>
      </c>
    </row>
    <row r="24" spans="1:19" ht="18" customHeight="1" x14ac:dyDescent="0.25">
      <c r="A24" s="3">
        <v>4</v>
      </c>
      <c r="B24" s="3">
        <v>0</v>
      </c>
      <c r="D24" s="25" t="s">
        <v>33</v>
      </c>
      <c r="E24" s="26">
        <v>50000</v>
      </c>
      <c r="F24" s="63" t="str">
        <f>IF($K$7&lt;12,"",IF(AND($R$12=4,F$12=0),$E24,IF(AND($R$12=0,$K$8=4),$E24,"")))</f>
        <v/>
      </c>
      <c r="G24" s="63" t="str">
        <f>IF($K$7&lt;11,"",IF(AND($R$12=4,G$12=0),$E24,IF(AND($R$12=0,$K$8=4),$E24,"")))</f>
        <v/>
      </c>
      <c r="H24" s="63" t="str">
        <f>IF($K$7&lt;10,"",IF(AND($R$12=4,H$12=0),$E24,IF(AND($R$12=0,$K$8=4),$E24,"")))</f>
        <v/>
      </c>
      <c r="I24" s="63" t="str">
        <f>IF($K$7&lt;9,"",IF(AND($R$12=4,I$12=0),$E24,IF(AND($R$12=0,$K$8=4),$E24,"")))</f>
        <v/>
      </c>
      <c r="J24" s="63" t="str">
        <f>IF($K$7&lt;8,"",IF(AND($R$12=4,J$12=0),$E24,IF(AND($R$12=0,$K$8=4),$E24,"")))</f>
        <v/>
      </c>
      <c r="K24" s="63" t="str">
        <f>IF($K$7&lt;7,"",IF(AND($R$12=4,K$12=0),$E24,IF(AND($R$12=0,$K$8=4),$E24,"")))</f>
        <v/>
      </c>
      <c r="L24" s="63" t="str">
        <f>IF($K$7&lt;6,"",IF(AND($R$12=4,L$12=0),$E24,IF(AND($R$12=0,$K$8=4),$E24,"")))</f>
        <v/>
      </c>
      <c r="M24" s="63" t="str">
        <f>IF($K$7&lt;5,"",IF(AND($R$12=4,M$12=0),$E24,IF(AND($R$12=0,$K$8=4),$E24,"")))</f>
        <v/>
      </c>
      <c r="N24" s="63" t="str">
        <f>IF($K$7&lt;4,"",IF(AND($R$12=4,N$12=0),$E24,IF(AND($R$12=0,$K$8=4),$E24,"")))</f>
        <v/>
      </c>
      <c r="O24" s="63" t="str">
        <f>IF($K$7&lt;3,"",IF(AND($R$12=4,O$12=0),$E24,IF(AND($R$12=0,$K$8=4),$E24,"")))</f>
        <v/>
      </c>
      <c r="P24" s="63" t="str">
        <f>IF($K$7&lt;2,"",IF(AND($R$12=4,P$12=0),$E24,IF(AND($R$12=0,$K$8=4),$E24,"")))</f>
        <v/>
      </c>
      <c r="Q24" s="63" t="str">
        <f>IF($K$7&lt;1,"",IF(AND($R$12=4,Q$12=0),$E24,IF(AND($R$12=0,$K$8=4),$E24,"")))</f>
        <v/>
      </c>
      <c r="R24" s="28">
        <f t="shared" si="0"/>
        <v>0</v>
      </c>
    </row>
    <row r="25" spans="1:19" ht="18" customHeight="1" x14ac:dyDescent="0.25">
      <c r="A25" s="3">
        <v>4</v>
      </c>
      <c r="B25" s="3">
        <v>1</v>
      </c>
      <c r="D25" s="25" t="s">
        <v>34</v>
      </c>
      <c r="E25" s="26">
        <v>37500</v>
      </c>
      <c r="F25" s="63" t="str">
        <f>IF($K$7&lt;12,"",IF(AND($R$12=4,F$12=1),$E25,IF(AND($R$12=1,$K$8=4),$E25,"")))</f>
        <v/>
      </c>
      <c r="G25" s="63" t="str">
        <f>IF($K$7&lt;11,"",IF(AND($R$12=4,G$12=1),$E25,IF(AND($R$12=1,$K$8=4),$E25,"")))</f>
        <v/>
      </c>
      <c r="H25" s="63" t="str">
        <f>IF($K$7&lt;10,"",IF(AND($R$12=4,H$12=1),$E25,IF(AND($R$12=1,$K$8=4),$E25,"")))</f>
        <v/>
      </c>
      <c r="I25" s="63" t="str">
        <f>IF($K$7&lt;9,"",IF(AND($R$12=4,I$12=1),$E25,IF(AND($R$12=1,$K$8=4),$E25,"")))</f>
        <v/>
      </c>
      <c r="J25" s="63" t="str">
        <f>IF($K$7&lt;8,"",IF(AND($R$12=4,J$12=1),$E25,IF(AND($R$12=1,$K$8=4),$E25,"")))</f>
        <v/>
      </c>
      <c r="K25" s="63" t="str">
        <f>IF($K$7&lt;7,"",IF(AND($R$12=4,K$12=1),$E25,IF(AND($R$12=1,$K$8=4),$E25,"")))</f>
        <v/>
      </c>
      <c r="L25" s="63" t="str">
        <f>IF($K$7&lt;6,"",IF(AND($R$12=4,L$12=1),$E25,IF(AND($R$12=1,$K$8=4),$E25,"")))</f>
        <v/>
      </c>
      <c r="M25" s="63" t="str">
        <f>IF($K$7&lt;5,"",IF(AND($R$12=4,M$12=1),$E25,IF(AND($R$12=1,$K$8=4),$E25,"")))</f>
        <v/>
      </c>
      <c r="N25" s="63" t="str">
        <f>IF($K$7&lt;4,"",IF(AND($R$12=4,N$12=1),$E25,IF(AND($R$12=1,$K$8=4),$E25,"")))</f>
        <v/>
      </c>
      <c r="O25" s="63" t="str">
        <f>IF($K$7&lt;3,"",IF(AND($R$12=4,O$12=1),$E25,IF(AND($R$12=1,$K$8=4),$E25,"")))</f>
        <v/>
      </c>
      <c r="P25" s="63" t="str">
        <f>IF($K$7&lt;2,"",IF(AND($R$12=4,P$12=1),$E25,IF(AND($R$12=1,$K$8=4),$E25,"")))</f>
        <v/>
      </c>
      <c r="Q25" s="63" t="str">
        <f>IF($K$7&lt;1,"",IF(AND($R$12=4,Q$12=1),$E25,IF(AND($R$12=1,$K$8=4),$E25,"")))</f>
        <v/>
      </c>
      <c r="R25" s="28">
        <f t="shared" si="0"/>
        <v>0</v>
      </c>
    </row>
    <row r="26" spans="1:19" ht="18" customHeight="1" x14ac:dyDescent="0.25">
      <c r="A26" s="3">
        <v>4</v>
      </c>
      <c r="B26" s="3">
        <v>2</v>
      </c>
      <c r="D26" s="25" t="s">
        <v>35</v>
      </c>
      <c r="E26" s="26">
        <v>25000</v>
      </c>
      <c r="F26" s="63" t="str">
        <f>IF($K$7&lt;12,"",IF(AND($R$12=4,F$12=2),$E26,IF(AND($R$12=2,$K$8=4),$E26,"")))</f>
        <v/>
      </c>
      <c r="G26" s="63" t="str">
        <f>IF($K$7&lt;11,"",IF(AND($R$12=4,G$12=2),$E26,IF(AND($R$12=2,$K$8=4),$E26,"")))</f>
        <v/>
      </c>
      <c r="H26" s="63" t="str">
        <f>IF($K$7&lt;10,"",IF(AND($R$12=4,H$12=2),$E26,IF(AND($R$12=2,$K$8=4),$E26,"")))</f>
        <v/>
      </c>
      <c r="I26" s="63" t="str">
        <f>IF($K$7&lt;9,"",IF(AND($R$12=4,I$12=2),$E26,IF(AND($R$12=2,$K$8=4),$E26,"")))</f>
        <v/>
      </c>
      <c r="J26" s="63" t="str">
        <f>IF($K$7&lt;8,"",IF(AND($R$12=4,J$12=2),$E26,IF(AND($R$12=2,$K$8=4),$E26,"")))</f>
        <v/>
      </c>
      <c r="K26" s="63" t="str">
        <f>IF($K$7&lt;7,"",IF(AND($R$12=4,K$12=2),$E26,IF(AND($R$12=2,$K$8=4),$E26,"")))</f>
        <v/>
      </c>
      <c r="L26" s="63" t="str">
        <f>IF($K$7&lt;6,"",IF(AND($R$12=4,L$12=2),$E26,IF(AND($R$12=2,$K$8=4),$E26,"")))</f>
        <v/>
      </c>
      <c r="M26" s="63" t="str">
        <f>IF($K$7&lt;5,"",IF(AND($R$12=4,M$12=2),$E26,IF(AND($R$12=2,$K$8=4),$E26,"")))</f>
        <v/>
      </c>
      <c r="N26" s="63" t="str">
        <f>IF($K$7&lt;4,"",IF(AND($R$12=4,N$12=2),$E26,IF(AND($R$12=2,$K$8=4),$E26,"")))</f>
        <v/>
      </c>
      <c r="O26" s="63" t="str">
        <f>IF($K$7&lt;3,"",IF(AND($R$12=4,O$12=2),$E26,IF(AND($R$12=2,$K$8=4),$E26,"")))</f>
        <v/>
      </c>
      <c r="P26" s="63" t="str">
        <f>IF($K$7&lt;2,"",IF(AND($R$12=4,P$12=2),$E26,IF(AND($R$12=2,$K$8=4),$E26,"")))</f>
        <v/>
      </c>
      <c r="Q26" s="63" t="str">
        <f>IF($K$7&lt;1,"",IF(AND($R$12=4,Q$12=2),$E26,IF(AND($R$12=2,$K$8=4),$E26,"")))</f>
        <v/>
      </c>
      <c r="R26" s="28">
        <f t="shared" si="0"/>
        <v>0</v>
      </c>
      <c r="S26" s="23" t="s">
        <v>40</v>
      </c>
    </row>
    <row r="27" spans="1:19" ht="18" customHeight="1" x14ac:dyDescent="0.25">
      <c r="A27" s="3">
        <v>4</v>
      </c>
      <c r="B27" s="3">
        <v>3</v>
      </c>
      <c r="D27" s="25" t="s">
        <v>36</v>
      </c>
      <c r="E27" s="26">
        <v>12500</v>
      </c>
      <c r="F27" s="63" t="str">
        <f>IF($K$7&lt;12,"",IF(AND($R$12=4,F$12=3),$E27,IF(AND($R$12=3,$K$8=4),$E27,"")))</f>
        <v/>
      </c>
      <c r="G27" s="63" t="str">
        <f>IF($K$7&lt;11,"",IF(AND($R$12=4,G$12=3),$E27,IF(AND($R$12=3,$K$8=4),$E27,"")))</f>
        <v/>
      </c>
      <c r="H27" s="63" t="str">
        <f>IF($K$7&lt;10,"",IF(AND($R$12=4,H$12=3),$E27,IF(AND($R$12=3,$K$8=4),$E27,"")))</f>
        <v/>
      </c>
      <c r="I27" s="63" t="str">
        <f>IF($K$7&lt;9,"",IF(AND($R$12=4,I$12=3),$E27,IF(AND($R$12=3,$K$8=4),$E27,"")))</f>
        <v/>
      </c>
      <c r="J27" s="63" t="str">
        <f>IF($K$7&lt;8,"",IF(AND($R$12=4,J$12=3),$E27,IF(AND($R$12=3,$K$8=4),$E27,"")))</f>
        <v/>
      </c>
      <c r="K27" s="63" t="str">
        <f>IF($K$7&lt;7,"",IF(AND($R$12=4,K$12=3),$E27,IF(AND($R$12=3,$K$8=4),$E27,"")))</f>
        <v/>
      </c>
      <c r="L27" s="63" t="str">
        <f>IF($K$7&lt;6,"",IF(AND($R$12=4,L$12=3),$E27,IF(AND($R$12=3,$K$8=4),$E27,"")))</f>
        <v/>
      </c>
      <c r="M27" s="63" t="str">
        <f>IF($K$7&lt;5,"",IF(AND($R$12=4,M$12=3),$E27,IF(AND($R$12=3,$K$8=4),$E27,"")))</f>
        <v/>
      </c>
      <c r="N27" s="63" t="str">
        <f>IF($K$7&lt;4,"",IF(AND($R$12=4,N$12=3),$E27,IF(AND($R$12=3,$K$8=4),$E27,"")))</f>
        <v/>
      </c>
      <c r="O27" s="63" t="str">
        <f>IF($K$7&lt;3,"",IF(AND($R$12=4,O$12=3),$E27,IF(AND($R$12=3,$K$8=4),$E27,"")))</f>
        <v/>
      </c>
      <c r="P27" s="63" t="str">
        <f>IF($K$7&lt;2,"",IF(AND($R$12=4,P$12=3),$E27,IF(AND($R$12=3,$K$8=4),$E27,"")))</f>
        <v/>
      </c>
      <c r="Q27" s="63" t="str">
        <f>IF($K$7&lt;1,"",IF(AND($R$12=4,Q$12=3),$E27,IF(AND($R$12=3,$K$8=4),$E27,"")))</f>
        <v/>
      </c>
      <c r="R27" s="28">
        <f t="shared" si="0"/>
        <v>0</v>
      </c>
      <c r="S27" s="64">
        <f>SUM(R18:R27)</f>
        <v>0</v>
      </c>
    </row>
    <row r="29" spans="1:19" ht="16.5" x14ac:dyDescent="0.25">
      <c r="C29" s="2"/>
      <c r="D29" s="49" t="s">
        <v>22</v>
      </c>
      <c r="Q29" s="19" t="s">
        <v>41</v>
      </c>
    </row>
    <row r="30" spans="1:19" ht="18" customHeight="1" x14ac:dyDescent="0.25">
      <c r="D30" s="21" t="s">
        <v>25</v>
      </c>
      <c r="E30" s="21" t="s">
        <v>26</v>
      </c>
      <c r="F30" s="24">
        <v>4</v>
      </c>
      <c r="G30" s="24">
        <v>5</v>
      </c>
      <c r="H30" s="24">
        <v>6</v>
      </c>
      <c r="I30" s="24">
        <v>7</v>
      </c>
      <c r="J30" s="24">
        <v>8</v>
      </c>
      <c r="K30" s="24">
        <v>9</v>
      </c>
      <c r="L30" s="24">
        <v>10</v>
      </c>
      <c r="M30" s="24">
        <v>11</v>
      </c>
      <c r="N30" s="24">
        <v>12</v>
      </c>
      <c r="O30" s="24">
        <v>1</v>
      </c>
      <c r="P30" s="24">
        <v>2</v>
      </c>
      <c r="Q30" s="24">
        <v>3</v>
      </c>
      <c r="R30" s="20" t="s">
        <v>39</v>
      </c>
    </row>
    <row r="31" spans="1:19" ht="18" customHeight="1" x14ac:dyDescent="0.25">
      <c r="A31" s="3">
        <v>1</v>
      </c>
      <c r="B31" s="3">
        <v>0</v>
      </c>
      <c r="D31" s="25" t="s">
        <v>27</v>
      </c>
      <c r="E31" s="26">
        <v>2500</v>
      </c>
      <c r="F31" s="63" t="str">
        <f>IF($K$7&lt;12,"",IF(AND($R$13=1,F$13=0),$E31,IF(AND($R$13=0,$K$9=1),$E31,"")))</f>
        <v/>
      </c>
      <c r="G31" s="63" t="str">
        <f>IF($K$7&lt;11,"",IF(AND($R$13=1,G$13=0),$E31,IF(AND($R$13=0,$K$9=1),$E31,"")))</f>
        <v/>
      </c>
      <c r="H31" s="63" t="str">
        <f>IF($K$7&lt;10,"",IF(AND($R$13=1,H$13=0),$E31,IF(AND($R$13=0,$K$9=1),$E31,"")))</f>
        <v/>
      </c>
      <c r="I31" s="63" t="str">
        <f>IF($K$7&lt;9,"",IF(AND($R$13=1,I$13=0),$E31,IF(AND($R$13=0,$K$9=1),$E31,"")))</f>
        <v/>
      </c>
      <c r="J31" s="63" t="str">
        <f>IF($K$7&lt;8,"",IF(AND($R$13=1,J$13=0),$E31,IF(AND($R$13=0,$K$9=1),$E31,"")))</f>
        <v/>
      </c>
      <c r="K31" s="63" t="str">
        <f>IF($K$7&lt;7,"",IF(AND($R$13=1,K$13=0),$E31,IF(AND($R$13=0,$K$9=1),$E31,"")))</f>
        <v/>
      </c>
      <c r="L31" s="63" t="str">
        <f>IF($K$7&lt;6,"",IF(AND($R$13=1,L$13=0),$E31,IF(AND($R$13=0,$K$9=1),$E31,"")))</f>
        <v/>
      </c>
      <c r="M31" s="63" t="str">
        <f>IF($K$7&lt;5,"",IF(AND($R$13=1,M$13=0),$E31,IF(AND($R$13=0,$K$9=1),$E31,"")))</f>
        <v/>
      </c>
      <c r="N31" s="63" t="str">
        <f>IF($K$7&lt;4,"",IF(AND($R$13=1,N$13=0),$E31,IF(AND($R$13=0,$K$9=1),$E31,"")))</f>
        <v/>
      </c>
      <c r="O31" s="63" t="str">
        <f>IF($K$7&lt;3,"",IF(AND($R$13=1,O$13=0),$E31,IF(AND($R$13=0,$K$9=1),$E31,"")))</f>
        <v/>
      </c>
      <c r="P31" s="63" t="str">
        <f>IF($K$7&lt;2,"",IF(AND($R$13=1,P$13=0),$E31,IF(AND($R$13=0,$K$9=1),$E31,"")))</f>
        <v/>
      </c>
      <c r="Q31" s="63" t="str">
        <f>IF($K$7&lt;1,"",IF(AND($R$13=1,Q$13=0),$E31,IF(AND($R$13=0,$K$9=1),$E31,"")))</f>
        <v/>
      </c>
      <c r="R31" s="28">
        <f>SUM(F31:Q31)</f>
        <v>0</v>
      </c>
    </row>
    <row r="32" spans="1:19" ht="18" customHeight="1" x14ac:dyDescent="0.25">
      <c r="A32" s="3">
        <v>2</v>
      </c>
      <c r="B32" s="3">
        <v>0</v>
      </c>
      <c r="D32" s="25" t="s">
        <v>28</v>
      </c>
      <c r="E32" s="26">
        <v>5000</v>
      </c>
      <c r="F32" s="63" t="str">
        <f>IF($K$7&lt;12,"",IF(AND($R$13=2,F$13=0),$E32,IF(AND($R$13=0,$K$9=2),$E32,"")))</f>
        <v/>
      </c>
      <c r="G32" s="63" t="str">
        <f>IF($K$7&lt;11,"",IF(AND($R$13=2,G$13=0),$E32,IF(AND($R$13=0,$K$9=2),$E32,"")))</f>
        <v/>
      </c>
      <c r="H32" s="63" t="str">
        <f>IF($K$7&lt;10,"",IF(AND($R$13=2,H$13=0),$E32,IF(AND($R$13=0,$K$9=2),$E32,"")))</f>
        <v/>
      </c>
      <c r="I32" s="63" t="str">
        <f>IF($K$7&lt;9,"",IF(AND($R$13=2,I$13=0),$E32,IF(AND($R$13=0,$K$9=2),$E32,"")))</f>
        <v/>
      </c>
      <c r="J32" s="63" t="str">
        <f>IF($K$7&lt;8,"",IF(AND($R$13=2,J$13=0),$E32,IF(AND($R$13=0,$K$9=2),$E32,"")))</f>
        <v/>
      </c>
      <c r="K32" s="63" t="str">
        <f>IF($K$7&lt;7,"",IF(AND($R$13=2,K$13=0),$E32,IF(AND($R$13=0,$K$9=2),$E32,"")))</f>
        <v/>
      </c>
      <c r="L32" s="63" t="str">
        <f>IF($K$7&lt;6,"",IF(AND($R$13=2,L$13=0),$E32,IF(AND($R$13=0,$K$9=2),$E32,"")))</f>
        <v/>
      </c>
      <c r="M32" s="63" t="str">
        <f>IF($K$7&lt;5,"",IF(AND($R$13=2,M$13=0),$E32,IF(AND($R$13=0,$K$9=2),$E32,"")))</f>
        <v/>
      </c>
      <c r="N32" s="63" t="str">
        <f>IF($K$7&lt;4,"",IF(AND($R$13=2,N$13=0),$E32,IF(AND($R$13=0,$K$9=2),$E32,"")))</f>
        <v/>
      </c>
      <c r="O32" s="63" t="str">
        <f>IF($K$7&lt;3,"",IF(AND($R$13=2,O$13=0),$E32,IF(AND($R$13=0,$K$9=2),$E32,"")))</f>
        <v/>
      </c>
      <c r="P32" s="63" t="str">
        <f>IF($K$7&lt;2,"",IF(AND($R$13=2,P$13=0),$E32,IF(AND($R$13=0,$K$9=2),$E32,"")))</f>
        <v/>
      </c>
      <c r="Q32" s="63" t="str">
        <f>IF($K$7&lt;1,"",IF(AND($R$13=2,Q$13=0),$E32,IF(AND($R$13=0,$K$9=2),$E32,"")))</f>
        <v/>
      </c>
      <c r="R32" s="28">
        <f t="shared" ref="R32:R40" si="1">SUM(F32:Q32)</f>
        <v>0</v>
      </c>
    </row>
    <row r="33" spans="1:19" ht="18" customHeight="1" x14ac:dyDescent="0.25">
      <c r="A33" s="3">
        <v>2</v>
      </c>
      <c r="B33" s="3">
        <v>1</v>
      </c>
      <c r="D33" s="25" t="s">
        <v>29</v>
      </c>
      <c r="E33" s="26">
        <v>2500</v>
      </c>
      <c r="F33" s="63" t="str">
        <f>IF($K$7&lt;12,"",IF(AND($R$13=2,F$13=1),$E33,IF(AND($R$13=1,$K$9=2),$E33,"")))</f>
        <v/>
      </c>
      <c r="G33" s="63" t="str">
        <f>IF($K$7&lt;11,"",IF(AND($R$13=2,G$13=1),$E33,IF(AND($R$13=1,$K$9=2),$E33,"")))</f>
        <v/>
      </c>
      <c r="H33" s="63" t="str">
        <f>IF($K$7&lt;10,"",IF(AND($R$13=2,H$13=1),$E33,IF(AND($R$13=1,$K$9=2),$E33,"")))</f>
        <v/>
      </c>
      <c r="I33" s="63" t="str">
        <f>IF($K$7&lt;9,"",IF(AND($R$13=2,I$13=1),$E33,IF(AND($R$13=1,$K$9=2),$E33,"")))</f>
        <v/>
      </c>
      <c r="J33" s="63" t="str">
        <f>IF($K$7&lt;8,"",IF(AND($R$13=2,J$13=1),$E33,IF(AND($R$13=1,$K$9=2),$E33,"")))</f>
        <v/>
      </c>
      <c r="K33" s="63" t="str">
        <f>IF($K$7&lt;7,"",IF(AND($R$13=2,K$13=1),$E33,IF(AND($R$13=1,$K$9=2),$E33,"")))</f>
        <v/>
      </c>
      <c r="L33" s="63" t="str">
        <f>IF($K$7&lt;6,"",IF(AND($R$13=2,L$13=1),$E33,IF(AND($R$13=1,$K$9=2),$E33,"")))</f>
        <v/>
      </c>
      <c r="M33" s="63" t="str">
        <f>IF($K$7&lt;5,"",IF(AND($R$13=2,M$13=1),$E33,IF(AND($R$13=1,$K$9=2),$E33,"")))</f>
        <v/>
      </c>
      <c r="N33" s="63" t="str">
        <f>IF($K$7&lt;4,"",IF(AND($R$13=2,N$13=1),$E33,IF(AND($R$13=1,$K$9=2),$E33,"")))</f>
        <v/>
      </c>
      <c r="O33" s="63" t="str">
        <f>IF($K$7&lt;3,"",IF(AND($R$13=2,O$13=1),$E33,IF(AND($R$13=1,$K$9=2),$E33,"")))</f>
        <v/>
      </c>
      <c r="P33" s="63" t="str">
        <f>IF($K$7&lt;2,"",IF(AND($R$13=2,P$13=1),$E33,IF(AND($R$13=1,$K$9=2),$E33,"")))</f>
        <v/>
      </c>
      <c r="Q33" s="63" t="str">
        <f>IF($K$7&lt;1,"",IF(AND($R$13=2,Q$13=1),$E33,IF(AND($R$13=1,$K$9=2),$E33,"")))</f>
        <v/>
      </c>
      <c r="R33" s="28">
        <f t="shared" si="1"/>
        <v>0</v>
      </c>
    </row>
    <row r="34" spans="1:19" ht="18" customHeight="1" x14ac:dyDescent="0.25">
      <c r="A34" s="3">
        <v>3</v>
      </c>
      <c r="B34" s="3">
        <v>0</v>
      </c>
      <c r="D34" s="25" t="s">
        <v>30</v>
      </c>
      <c r="E34" s="26">
        <v>7500</v>
      </c>
      <c r="F34" s="63" t="str">
        <f>IF($K$7&lt;12,"",IF(AND($R$13=3,F$13=0),$E34,IF(AND($R$13=0,$K$9=3),$E34,"")))</f>
        <v/>
      </c>
      <c r="G34" s="63" t="str">
        <f>IF($K$7&lt;11,"",IF(AND($R$13=3,G$13=0),$E34,IF(AND($R$13=0,$K$9=3),$E34,"")))</f>
        <v/>
      </c>
      <c r="H34" s="63" t="str">
        <f>IF($K$7&lt;10,"",IF(AND($R$13=3,H$13=0),$E34,IF(AND($R$13=0,$K$9=3),$E34,"")))</f>
        <v/>
      </c>
      <c r="I34" s="63" t="str">
        <f>IF($K$7&lt;9,"",IF(AND($R$13=3,I$13=0),$E34,IF(AND($R$13=0,$K$9=3),$E34,"")))</f>
        <v/>
      </c>
      <c r="J34" s="63" t="str">
        <f>IF($K$7&lt;8,"",IF(AND($R$13=3,J$13=0),$E34,IF(AND($R$13=0,$K$9=3),$E34,"")))</f>
        <v/>
      </c>
      <c r="K34" s="63" t="str">
        <f>IF($K$7&lt;7,"",IF(AND($R$13=3,K$13=0),$E34,IF(AND($R$13=0,$K$9=3),$E34,"")))</f>
        <v/>
      </c>
      <c r="L34" s="63" t="str">
        <f>IF($K$7&lt;6,"",IF(AND($R$13=3,L$13=0),$E34,IF(AND($R$13=0,$K$9=3),$E34,"")))</f>
        <v/>
      </c>
      <c r="M34" s="63" t="str">
        <f>IF($K$7&lt;5,"",IF(AND($R$13=3,M$13=0),$E34,IF(AND($R$13=0,$K$9=3),$E34,"")))</f>
        <v/>
      </c>
      <c r="N34" s="63" t="str">
        <f>IF($K$7&lt;4,"",IF(AND($R$13=3,N$13=0),$E34,IF(AND($R$13=0,$K$9=3),$E34,"")))</f>
        <v/>
      </c>
      <c r="O34" s="63" t="str">
        <f>IF($K$7&lt;3,"",IF(AND($R$13=3,O$13=0),$E34,IF(AND($R$13=0,$K$9=3),$E34,"")))</f>
        <v/>
      </c>
      <c r="P34" s="63" t="str">
        <f>IF($K$7&lt;2,"",IF(AND($R$13=3,P$13=0),$E34,IF(AND($R$13=0,$K$9=3),$E34,"")))</f>
        <v/>
      </c>
      <c r="Q34" s="63" t="str">
        <f>IF($K$7&lt;1,"",IF(AND($R$13=3,Q$13=0),$E34,IF(AND($R$13=0,$K$9=3),$E34,"")))</f>
        <v/>
      </c>
      <c r="R34" s="28">
        <f t="shared" si="1"/>
        <v>0</v>
      </c>
    </row>
    <row r="35" spans="1:19" ht="18" customHeight="1" x14ac:dyDescent="0.25">
      <c r="A35" s="3">
        <v>3</v>
      </c>
      <c r="B35" s="3">
        <v>1</v>
      </c>
      <c r="D35" s="25" t="s">
        <v>31</v>
      </c>
      <c r="E35" s="26">
        <v>5000</v>
      </c>
      <c r="F35" s="63" t="str">
        <f>IF($K$7&lt;12,"",IF(AND($R$13=3,F$13=1),$E35,IF(AND($R$13=1,$K$9=3),$E35,"")))</f>
        <v/>
      </c>
      <c r="G35" s="63" t="str">
        <f>IF($K$7&lt;11,"",IF(AND($R$13=3,G$13=1),$E35,IF(AND($R$13=1,$K$9=3),$E35,"")))</f>
        <v/>
      </c>
      <c r="H35" s="63" t="str">
        <f>IF($K$7&lt;10,"",IF(AND($R$13=3,H$13=1),$E35,IF(AND($R$13=1,$K$9=3),$E35,"")))</f>
        <v/>
      </c>
      <c r="I35" s="63" t="str">
        <f>IF($K$7&lt;9,"",IF(AND($R$13=3,I$13=1),$E35,IF(AND($R$13=1,$K$9=3),$E35,"")))</f>
        <v/>
      </c>
      <c r="J35" s="63" t="str">
        <f>IF($K$7&lt;8,"",IF(AND($R$13=3,J$13=1),$E35,IF(AND($R$13=1,$K$9=3),$E35,"")))</f>
        <v/>
      </c>
      <c r="K35" s="63" t="str">
        <f>IF($K$7&lt;7,"",IF(AND($R$13=3,K$13=1),$E35,IF(AND($R$13=1,$K$9=3),$E35,"")))</f>
        <v/>
      </c>
      <c r="L35" s="63" t="str">
        <f>IF($K$7&lt;6,"",IF(AND($R$13=3,L$13=1),$E35,IF(AND($R$13=1,$K$9=3),$E35,"")))</f>
        <v/>
      </c>
      <c r="M35" s="63" t="str">
        <f>IF($K$7&lt;5,"",IF(AND($R$13=3,M$13=1),$E35,IF(AND($R$13=1,$K$9=3),$E35,"")))</f>
        <v/>
      </c>
      <c r="N35" s="63" t="str">
        <f>IF($K$7&lt;4,"",IF(AND($R$13=3,N$13=1),$E35,IF(AND($R$13=1,$K$9=3),$E35,"")))</f>
        <v/>
      </c>
      <c r="O35" s="63" t="str">
        <f>IF($K$7&lt;3,"",IF(AND($R$13=3,O$13=1),$E35,IF(AND($R$13=1,$K$9=3),$E35,"")))</f>
        <v/>
      </c>
      <c r="P35" s="63" t="str">
        <f>IF($K$7&lt;2,"",IF(AND($R$13=3,P$13=1),$E35,IF(AND($R$13=1,$K$9=3),$E35,"")))</f>
        <v/>
      </c>
      <c r="Q35" s="63" t="str">
        <f>IF($K$7&lt;1,"",IF(AND($R$13=3,Q$13=1),$E35,IF(AND($R$13=1,$K$9=3),$E35,"")))</f>
        <v/>
      </c>
      <c r="R35" s="28">
        <f t="shared" si="1"/>
        <v>0</v>
      </c>
    </row>
    <row r="36" spans="1:19" ht="18" customHeight="1" x14ac:dyDescent="0.25">
      <c r="A36" s="3">
        <v>3</v>
      </c>
      <c r="B36" s="3">
        <v>2</v>
      </c>
      <c r="D36" s="25" t="s">
        <v>32</v>
      </c>
      <c r="E36" s="26">
        <v>2500</v>
      </c>
      <c r="F36" s="63" t="str">
        <f>IF($K$7&lt;12,"",IF(AND($R$13=3,F$13=2),$E36,IF(AND($R$13=2,$K$9=3),$E36,"")))</f>
        <v/>
      </c>
      <c r="G36" s="63" t="str">
        <f>IF($K$7&lt;11,"",IF(AND($R$13=3,G$13=2),$E36,IF(AND($R$13=2,$K$9=3),$E36,"")))</f>
        <v/>
      </c>
      <c r="H36" s="63" t="str">
        <f>IF($K$7&lt;10,"",IF(AND($R$13=3,H$13=2),$E36,IF(AND($R$13=2,$K$9=3),$E36,"")))</f>
        <v/>
      </c>
      <c r="I36" s="63" t="str">
        <f>IF($K$7&lt;9,"",IF(AND($R$13=3,I$13=2),$E36,IF(AND($R$13=2,$K$9=3),$E36,"")))</f>
        <v/>
      </c>
      <c r="J36" s="63" t="str">
        <f>IF($K$7&lt;8,"",IF(AND($R$13=3,J$13=2),$E36,IF(AND($R$13=2,$K$9=3),$E36,"")))</f>
        <v/>
      </c>
      <c r="K36" s="63" t="str">
        <f>IF($K$7&lt;7,"",IF(AND($R$13=3,K$13=2),$E36,IF(AND($R$13=2,$K$9=3),$E36,"")))</f>
        <v/>
      </c>
      <c r="L36" s="63" t="str">
        <f>IF($K$7&lt;6,"",IF(AND($R$13=3,L$13=2),$E36,IF(AND($R$13=2,$K$9=3),$E36,"")))</f>
        <v/>
      </c>
      <c r="M36" s="63" t="str">
        <f>IF($K$7&lt;5,"",IF(AND($R$13=3,M$13=2),$E36,IF(AND($R$13=2,$K$9=3),$E36,"")))</f>
        <v/>
      </c>
      <c r="N36" s="63" t="str">
        <f>IF($K$7&lt;4,"",IF(AND($R$13=3,N$13=2),$E36,IF(AND($R$13=2,$K$9=3),$E36,"")))</f>
        <v/>
      </c>
      <c r="O36" s="63" t="str">
        <f>IF($K$7&lt;3,"",IF(AND($R$13=3,O$13=2),$E36,IF(AND($R$13=2,$K$9=3),$E36,"")))</f>
        <v/>
      </c>
      <c r="P36" s="63" t="str">
        <f>IF($K$7&lt;2,"",IF(AND($R$13=3,P$13=2),$E36,IF(AND($R$13=2,$K$9=3),$E36,"")))</f>
        <v/>
      </c>
      <c r="Q36" s="63" t="str">
        <f>IF($K$7&lt;1,"",IF(AND($R$13=3,Q$13=2),$E36,IF(AND($R$13=2,$K$9=3),$E36,"")))</f>
        <v/>
      </c>
      <c r="R36" s="28">
        <f t="shared" si="1"/>
        <v>0</v>
      </c>
    </row>
    <row r="37" spans="1:19" ht="18" customHeight="1" x14ac:dyDescent="0.25">
      <c r="A37" s="3">
        <v>4</v>
      </c>
      <c r="B37" s="3">
        <v>0</v>
      </c>
      <c r="D37" s="25" t="s">
        <v>33</v>
      </c>
      <c r="E37" s="26">
        <v>10000</v>
      </c>
      <c r="F37" s="63" t="str">
        <f>IF($K$7&lt;12,"",IF(AND($R$13=4,F$13=0),$E37,IF(AND($R$13=0,$K$9=4),$E37,"")))</f>
        <v/>
      </c>
      <c r="G37" s="63" t="str">
        <f>IF($K$7&lt;11,"",IF(AND($R$13=4,G$13=0),$E37,IF(AND($R$13=0,$K$9=4),$E37,"")))</f>
        <v/>
      </c>
      <c r="H37" s="63" t="str">
        <f>IF($K$7&lt;10,"",IF(AND($R$13=4,H$13=0),$E37,IF(AND($R$13=0,$K$9=4),$E37,"")))</f>
        <v/>
      </c>
      <c r="I37" s="63" t="str">
        <f>IF($K$7&lt;9,"",IF(AND($R$13=4,I$13=0),$E37,IF(AND($R$13=0,$K$9=4),$E37,"")))</f>
        <v/>
      </c>
      <c r="J37" s="63" t="str">
        <f>IF($K$7&lt;8,"",IF(AND($R$13=4,J$13=0),$E37,IF(AND($R$13=0,$K$9=4),$E37,"")))</f>
        <v/>
      </c>
      <c r="K37" s="63" t="str">
        <f>IF($K$7&lt;7,"",IF(AND($R$13=4,K$13=0),$E37,IF(AND($R$13=0,$K$9=4),$E37,"")))</f>
        <v/>
      </c>
      <c r="L37" s="63" t="str">
        <f>IF($K$7&lt;6,"",IF(AND($R$13=4,L$13=0),$E37,IF(AND($R$13=0,$K$9=4),$E37,"")))</f>
        <v/>
      </c>
      <c r="M37" s="63" t="str">
        <f>IF($K$7&lt;5,"",IF(AND($R$13=4,M$13=0),$E37,IF(AND($R$13=0,$K$9=4),$E37,"")))</f>
        <v/>
      </c>
      <c r="N37" s="63" t="str">
        <f>IF($K$7&lt;4,"",IF(AND($R$13=4,N$13=0),$E37,IF(AND($R$13=0,$K$9=4),$E37,"")))</f>
        <v/>
      </c>
      <c r="O37" s="63" t="str">
        <f>IF($K$7&lt;3,"",IF(AND($R$13=4,O$13=0),$E37,IF(AND($R$13=0,$K$9=4),$E37,"")))</f>
        <v/>
      </c>
      <c r="P37" s="63" t="str">
        <f>IF($K$7&lt;2,"",IF(AND($R$13=4,P$13=0),$E37,IF(AND($R$13=0,$K$9=4),$E37,"")))</f>
        <v/>
      </c>
      <c r="Q37" s="63" t="str">
        <f>IF($K$7&lt;1,"",IF(AND($R$13=4,Q$13=0),$E37,IF(AND($R$13=0,$K$9=4),$E37,"")))</f>
        <v/>
      </c>
      <c r="R37" s="28">
        <f t="shared" si="1"/>
        <v>0</v>
      </c>
    </row>
    <row r="38" spans="1:19" ht="18" customHeight="1" x14ac:dyDescent="0.25">
      <c r="A38" s="3">
        <v>4</v>
      </c>
      <c r="B38" s="3">
        <v>1</v>
      </c>
      <c r="D38" s="25" t="s">
        <v>34</v>
      </c>
      <c r="E38" s="26">
        <v>7500</v>
      </c>
      <c r="F38" s="63" t="str">
        <f>IF($K$7&lt;12,"",IF(AND($R$13=4,F$13=1),$E38,IF(AND($R$13=1,$K$9=4),$E38,"")))</f>
        <v/>
      </c>
      <c r="G38" s="63" t="str">
        <f>IF($K$7&lt;11,"",IF(AND($R$13=4,G$13=1),$E38,IF(AND($R$13=1,$K$9=4),$E38,"")))</f>
        <v/>
      </c>
      <c r="H38" s="63" t="str">
        <f>IF($K$7&lt;10,"",IF(AND($R$13=4,H$13=1),$E38,IF(AND($R$13=1,$K$9=4),$E38,"")))</f>
        <v/>
      </c>
      <c r="I38" s="63" t="str">
        <f>IF($K$7&lt;9,"",IF(AND($R$13=4,I$13=1),$E38,IF(AND($R$13=1,$K$9=4),$E38,"")))</f>
        <v/>
      </c>
      <c r="J38" s="63" t="str">
        <f>IF($K$7&lt;8,"",IF(AND($R$13=4,J$13=1),$E38,IF(AND($R$13=1,$K$9=4),$E38,"")))</f>
        <v/>
      </c>
      <c r="K38" s="63" t="str">
        <f>IF($K$7&lt;7,"",IF(AND($R$13=4,K$13=1),$E38,IF(AND($R$13=1,$K$9=4),$E38,"")))</f>
        <v/>
      </c>
      <c r="L38" s="63" t="str">
        <f>IF($K$7&lt;6,"",IF(AND($R$13=4,L$13=1),$E38,IF(AND($R$13=1,$K$9=4),$E38,"")))</f>
        <v/>
      </c>
      <c r="M38" s="63" t="str">
        <f>IF($K$7&lt;5,"",IF(AND($R$13=4,M$13=1),$E38,IF(AND($R$13=1,$K$9=4),$E38,"")))</f>
        <v/>
      </c>
      <c r="N38" s="63" t="str">
        <f>IF($K$7&lt;4,"",IF(AND($R$13=4,N$13=1),$E38,IF(AND($R$13=1,$K$9=4),$E38,"")))</f>
        <v/>
      </c>
      <c r="O38" s="63" t="str">
        <f>IF($K$7&lt;3,"",IF(AND($R$13=4,O$13=1),$E38,IF(AND($R$13=1,$K$9=4),$E38,"")))</f>
        <v/>
      </c>
      <c r="P38" s="63" t="str">
        <f>IF($K$7&lt;2,"",IF(AND($R$13=4,P$13=1),$E38,IF(AND($R$13=1,$K$9=4),$E38,"")))</f>
        <v/>
      </c>
      <c r="Q38" s="63" t="str">
        <f>IF($K$7&lt;1,"",IF(AND($R$13=4,Q$13=1),$E38,IF(AND($R$13=1,$K$9=4),$E38,"")))</f>
        <v/>
      </c>
      <c r="R38" s="28">
        <f t="shared" si="1"/>
        <v>0</v>
      </c>
    </row>
    <row r="39" spans="1:19" ht="18" customHeight="1" x14ac:dyDescent="0.25">
      <c r="A39" s="3">
        <v>4</v>
      </c>
      <c r="B39" s="3">
        <v>2</v>
      </c>
      <c r="D39" s="25" t="s">
        <v>35</v>
      </c>
      <c r="E39" s="26">
        <v>5000</v>
      </c>
      <c r="F39" s="63" t="str">
        <f>IF($K$7&lt;12,"",IF(AND($R$13=4,F$13=2),$E39,IF(AND($R$13=2,$K$9=4),$E39,"")))</f>
        <v/>
      </c>
      <c r="G39" s="63" t="str">
        <f>IF($K$7&lt;11,"",IF(AND($R$13=4,G$13=2),$E39,IF(AND($R$13=2,$K$9=4),$E39,"")))</f>
        <v/>
      </c>
      <c r="H39" s="63" t="str">
        <f>IF($K$7&lt;10,"",IF(AND($R$13=4,H$13=2),$E39,IF(AND($R$13=2,$K$9=4),$E39,"")))</f>
        <v/>
      </c>
      <c r="I39" s="63" t="str">
        <f>IF($K$7&lt;9,"",IF(AND($R$13=4,I$13=2),$E39,IF(AND($R$13=2,$K$9=4),$E39,"")))</f>
        <v/>
      </c>
      <c r="J39" s="63" t="str">
        <f>IF($K$7&lt;8,"",IF(AND($R$13=4,J$13=2),$E39,IF(AND($R$13=2,$K$9=4),$E39,"")))</f>
        <v/>
      </c>
      <c r="K39" s="63" t="str">
        <f>IF($K$7&lt;7,"",IF(AND($R$13=4,K$13=2),$E39,IF(AND($R$13=2,$K$9=4),$E39,"")))</f>
        <v/>
      </c>
      <c r="L39" s="63" t="str">
        <f>IF($K$7&lt;6,"",IF(AND($R$13=4,L$13=2),$E39,IF(AND($R$13=2,$K$9=4),$E39,"")))</f>
        <v/>
      </c>
      <c r="M39" s="63" t="str">
        <f>IF($K$7&lt;5,"",IF(AND($R$13=4,M$13=2),$E39,IF(AND($R$13=2,$K$9=4),$E39,"")))</f>
        <v/>
      </c>
      <c r="N39" s="63" t="str">
        <f>IF($K$7&lt;4,"",IF(AND($R$13=4,N$13=2),$E39,IF(AND($R$13=2,$K$9=4),$E39,"")))</f>
        <v/>
      </c>
      <c r="O39" s="63" t="str">
        <f>IF($K$7&lt;3,"",IF(AND($R$13=4,O$13=2),$E39,IF(AND($R$13=2,$K$9=4),$E39,"")))</f>
        <v/>
      </c>
      <c r="P39" s="63" t="str">
        <f>IF($K$7&lt;2,"",IF(AND($R$13=4,P$13=2),$E39,IF(AND($R$13=2,$K$9=4),$E39,"")))</f>
        <v/>
      </c>
      <c r="Q39" s="63" t="str">
        <f>IF($K$7&lt;1,"",IF(AND($R$13=4,Q$13=2),$E39,IF(AND($R$13=2,$K$9=4),$E39,"")))</f>
        <v/>
      </c>
      <c r="R39" s="28">
        <f t="shared" si="1"/>
        <v>0</v>
      </c>
      <c r="S39" s="23" t="s">
        <v>40</v>
      </c>
    </row>
    <row r="40" spans="1:19" ht="18" customHeight="1" x14ac:dyDescent="0.25">
      <c r="A40" s="3">
        <v>4</v>
      </c>
      <c r="B40" s="3">
        <v>3</v>
      </c>
      <c r="D40" s="25" t="s">
        <v>36</v>
      </c>
      <c r="E40" s="26">
        <v>2500</v>
      </c>
      <c r="F40" s="63" t="str">
        <f>IF($K$7&lt;12,"",IF(AND($R$13=4,F$13=3),$E40,IF(AND($R$13=3,$K$9=4),$E40,"")))</f>
        <v/>
      </c>
      <c r="G40" s="63" t="str">
        <f>IF($K$7&lt;11,"",IF(AND($R$13=4,G$13=3),$E40,IF(AND($R$13=3,$K$9=4),$E40,"")))</f>
        <v/>
      </c>
      <c r="H40" s="63" t="str">
        <f>IF($K$7&lt;10,"",IF(AND($R$13=4,H$13=3),$E40,IF(AND($R$13=3,$K$9=4),$E40,"")))</f>
        <v/>
      </c>
      <c r="I40" s="63" t="str">
        <f>IF($K$7&lt;9,"",IF(AND($R$13=4,I$13=3),$E40,IF(AND($R$13=3,$K$9=4),$E40,"")))</f>
        <v/>
      </c>
      <c r="J40" s="63" t="str">
        <f>IF($K$7&lt;8,"",IF(AND($R$13=4,J$13=3),$E40,IF(AND($R$13=3,$K$9=4),$E40,"")))</f>
        <v/>
      </c>
      <c r="K40" s="63" t="str">
        <f>IF($K$7&lt;7,"",IF(AND($R$13=4,K$13=3),$E40,IF(AND($R$13=3,$K$9=4),$E40,"")))</f>
        <v/>
      </c>
      <c r="L40" s="63" t="str">
        <f>IF($K$7&lt;6,"",IF(AND($R$13=4,L$13=3),$E40,IF(AND($R$13=3,$K$9=4),$E40,"")))</f>
        <v/>
      </c>
      <c r="M40" s="63" t="str">
        <f>IF($K$7&lt;5,"",IF(AND($R$13=4,M$13=3),$E40,IF(AND($R$13=3,$K$9=4),$E40,"")))</f>
        <v/>
      </c>
      <c r="N40" s="63" t="str">
        <f>IF($K$7&lt;4,"",IF(AND($R$13=4,N$13=3),$E40,IF(AND($R$13=3,$K$9=4),$E40,"")))</f>
        <v/>
      </c>
      <c r="O40" s="63" t="str">
        <f>IF($K$7&lt;3,"",IF(AND($R$13=4,O$13=3),$E40,IF(AND($R$13=3,$K$9=4),$E40,"")))</f>
        <v/>
      </c>
      <c r="P40" s="63" t="str">
        <f>IF($K$7&lt;2,"",IF(AND($R$13=4,P$13=3),$E40,IF(AND($R$13=3,$K$9=4),$E40,"")))</f>
        <v/>
      </c>
      <c r="Q40" s="63" t="str">
        <f>IF($K$7&lt;1,"",IF(AND($R$13=4,Q$13=3),$E40,IF(AND($R$13=3,$K$9=4),$E40,"")))</f>
        <v/>
      </c>
      <c r="R40" s="28">
        <f t="shared" si="1"/>
        <v>0</v>
      </c>
      <c r="S40" s="64">
        <f>SUM(R31:R40)</f>
        <v>0</v>
      </c>
    </row>
    <row r="42" spans="1:19" ht="18" customHeight="1" x14ac:dyDescent="0.2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ht="24" customHeight="1" x14ac:dyDescent="0.25">
      <c r="D43" s="68" t="s">
        <v>59</v>
      </c>
    </row>
    <row r="44" spans="1:19" ht="30" customHeight="1" x14ac:dyDescent="0.25">
      <c r="D44" s="35" t="s">
        <v>43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9" s="33" customFormat="1" ht="23.25" customHeight="1" thickBot="1" x14ac:dyDescent="0.3">
      <c r="D45" s="32" t="s">
        <v>42</v>
      </c>
      <c r="H45" s="77">
        <v>100000</v>
      </c>
      <c r="I45" s="78"/>
      <c r="J45" s="16" t="s">
        <v>44</v>
      </c>
    </row>
    <row r="46" spans="1:19" s="33" customFormat="1" ht="23.25" customHeight="1" thickTop="1" thickBot="1" x14ac:dyDescent="0.3">
      <c r="D46" s="32" t="s">
        <v>45</v>
      </c>
      <c r="H46" s="79"/>
      <c r="I46" s="80"/>
      <c r="J46" s="16" t="s">
        <v>65</v>
      </c>
    </row>
    <row r="47" spans="1:19" ht="23.25" customHeight="1" thickTop="1" thickBot="1" x14ac:dyDescent="0.3">
      <c r="D47" s="46" t="s">
        <v>46</v>
      </c>
      <c r="E47" s="47"/>
      <c r="F47" s="47"/>
      <c r="G47" s="48"/>
      <c r="H47" s="86">
        <f>ROUNDDOWN(H46*2/3,0)</f>
        <v>0</v>
      </c>
      <c r="I47" s="87"/>
      <c r="J47" s="16" t="str">
        <f>"・・・　経費"&amp;H46&amp;" × 補助率2/3"</f>
        <v>・・・　経費 × 補助率2/3</v>
      </c>
      <c r="K47" s="33"/>
      <c r="L47" s="33"/>
      <c r="N47" s="33"/>
      <c r="O47" s="33"/>
      <c r="P47" s="33"/>
      <c r="Q47" s="33"/>
    </row>
    <row r="48" spans="1:19" ht="23.25" customHeight="1" thickTop="1" x14ac:dyDescent="0.25">
      <c r="D48" s="69" t="s">
        <v>60</v>
      </c>
      <c r="E48" s="40"/>
      <c r="F48" s="40"/>
      <c r="G48" s="8"/>
      <c r="H48" s="75">
        <f>ROUNDDOWN(IF($H$47&lt;$H$45,$H$47,$H$45),-3)</f>
        <v>0</v>
      </c>
      <c r="I48" s="76"/>
      <c r="J48" s="16" t="s">
        <v>63</v>
      </c>
      <c r="K48" s="33"/>
      <c r="L48" s="33"/>
      <c r="M48" s="33"/>
      <c r="N48" s="33"/>
      <c r="O48" s="33"/>
      <c r="P48" s="33"/>
      <c r="Q48" s="33"/>
    </row>
    <row r="49" spans="4:18" ht="23.25" customHeight="1" x14ac:dyDescent="0.25">
      <c r="D49" s="32"/>
      <c r="E49" s="33"/>
      <c r="F49" s="33"/>
      <c r="G49" s="36"/>
      <c r="H49" s="36"/>
      <c r="I49" s="33"/>
      <c r="J49" s="33"/>
      <c r="K49" s="33"/>
      <c r="L49" s="33"/>
      <c r="M49" s="33"/>
      <c r="N49" s="33"/>
      <c r="O49" s="33"/>
      <c r="P49" s="33"/>
      <c r="Q49" s="33"/>
    </row>
    <row r="50" spans="4:18" ht="30" customHeight="1" x14ac:dyDescent="0.25">
      <c r="D50" s="42" t="s">
        <v>47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4:18" s="33" customFormat="1" ht="23.25" customHeight="1" thickBot="1" x14ac:dyDescent="0.3">
      <c r="D51" s="32" t="s">
        <v>42</v>
      </c>
      <c r="H51" s="77">
        <f>(IF(MAX($K$8,$R$12)=1,150000,IF(MAX($K$8,$R$12)=2,300000,IF(MAX($K$8,$R$12)=3,450000,IF(MAX($K$8,$R$12)=4,600000,0))))*$K$7/12-$S$27)</f>
        <v>0</v>
      </c>
      <c r="I51" s="78"/>
      <c r="J51" s="16" t="s">
        <v>55</v>
      </c>
    </row>
    <row r="52" spans="4:18" s="33" customFormat="1" ht="23.25" customHeight="1" thickTop="1" thickBot="1" x14ac:dyDescent="0.3">
      <c r="D52" s="32" t="s">
        <v>48</v>
      </c>
      <c r="H52" s="79"/>
      <c r="I52" s="80"/>
      <c r="J52" s="16" t="s">
        <v>66</v>
      </c>
    </row>
    <row r="53" spans="4:18" ht="23.25" customHeight="1" thickTop="1" thickBot="1" x14ac:dyDescent="0.3">
      <c r="D53" s="46" t="s">
        <v>46</v>
      </c>
      <c r="E53" s="47"/>
      <c r="F53" s="47"/>
      <c r="G53" s="48"/>
      <c r="H53" s="73">
        <f>ROUNDDOWN(H52*$K$6,0)</f>
        <v>0</v>
      </c>
      <c r="I53" s="74"/>
      <c r="J53" s="16" t="str">
        <f>"・・・　経費"&amp;H52&amp;" × 補助率"&amp;$L$6</f>
        <v>・・・　経費 × 補助率2/3</v>
      </c>
      <c r="K53" s="33"/>
      <c r="L53" s="33"/>
      <c r="N53" s="33"/>
      <c r="O53" s="33"/>
      <c r="P53" s="33"/>
      <c r="Q53" s="33"/>
    </row>
    <row r="54" spans="4:18" ht="23.25" customHeight="1" thickTop="1" x14ac:dyDescent="0.25">
      <c r="D54" s="69" t="s">
        <v>60</v>
      </c>
      <c r="E54" s="40"/>
      <c r="F54" s="40"/>
      <c r="G54" s="8"/>
      <c r="H54" s="75">
        <f>ROUNDDOWN(IF($H53&lt;$H51,$H53,$H51),-3)</f>
        <v>0</v>
      </c>
      <c r="I54" s="76"/>
      <c r="J54" s="16" t="s">
        <v>63</v>
      </c>
      <c r="K54" s="33"/>
      <c r="L54" s="33"/>
      <c r="M54" s="33"/>
      <c r="N54" s="33"/>
      <c r="O54" s="33"/>
      <c r="P54" s="33"/>
      <c r="Q54" s="33"/>
    </row>
    <row r="55" spans="4:18" ht="23.25" customHeight="1" x14ac:dyDescent="0.25">
      <c r="D55" s="32"/>
      <c r="E55" s="33"/>
      <c r="F55" s="33"/>
      <c r="G55" s="36"/>
      <c r="H55" s="36"/>
      <c r="I55" s="33"/>
      <c r="J55" s="33"/>
      <c r="K55" s="33"/>
      <c r="L55" s="33"/>
      <c r="M55" s="33"/>
      <c r="N55" s="33"/>
      <c r="O55" s="33"/>
      <c r="P55" s="33"/>
      <c r="Q55" s="33"/>
    </row>
    <row r="56" spans="4:18" ht="30" customHeight="1" x14ac:dyDescent="0.25">
      <c r="D56" s="44" t="s">
        <v>49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4:18" s="33" customFormat="1" ht="23.25" customHeight="1" thickBot="1" x14ac:dyDescent="0.3">
      <c r="D57" s="32" t="s">
        <v>42</v>
      </c>
      <c r="H57" s="77">
        <f>(IF(MAX($K$9,$R$13)=1,30000,IF(MAX($K$9,$R$13)=2,60000,IF(MAX($K$9,$R$13)=3,90000,IF(MAX($K$9,$R$13)=4,120000,0)))))*$K$7/12-$S$40</f>
        <v>0</v>
      </c>
      <c r="I57" s="78"/>
      <c r="J57" s="16" t="s">
        <v>58</v>
      </c>
    </row>
    <row r="58" spans="4:18" s="33" customFormat="1" ht="23.25" customHeight="1" thickTop="1" thickBot="1" x14ac:dyDescent="0.3">
      <c r="D58" s="32" t="s">
        <v>56</v>
      </c>
      <c r="H58" s="79"/>
      <c r="I58" s="80"/>
      <c r="J58" s="16" t="s">
        <v>67</v>
      </c>
    </row>
    <row r="59" spans="4:18" ht="23.25" customHeight="1" thickTop="1" thickBot="1" x14ac:dyDescent="0.3">
      <c r="D59" s="46" t="s">
        <v>46</v>
      </c>
      <c r="E59" s="47"/>
      <c r="F59" s="47"/>
      <c r="G59" s="48"/>
      <c r="H59" s="73">
        <f>ROUNDDOWN(H58*$K$6,0)</f>
        <v>0</v>
      </c>
      <c r="I59" s="74"/>
      <c r="J59" s="16" t="str">
        <f>"・・・　経費"&amp;H58&amp;" × 補助率"&amp;$L$6</f>
        <v>・・・　経費 × 補助率2/3</v>
      </c>
      <c r="K59" s="33"/>
      <c r="L59" s="33"/>
      <c r="N59" s="33"/>
      <c r="O59" s="33"/>
      <c r="P59" s="33"/>
      <c r="Q59" s="33"/>
    </row>
    <row r="60" spans="4:18" ht="23.25" customHeight="1" thickTop="1" x14ac:dyDescent="0.25">
      <c r="D60" s="69" t="s">
        <v>60</v>
      </c>
      <c r="E60" s="40"/>
      <c r="F60" s="40"/>
      <c r="G60" s="8"/>
      <c r="H60" s="75">
        <f>ROUNDDOWN(IF($H59&lt;$H57,$H59,$H57),-3)</f>
        <v>0</v>
      </c>
      <c r="I60" s="76"/>
      <c r="J60" s="16" t="s">
        <v>63</v>
      </c>
      <c r="K60" s="33"/>
      <c r="L60" s="33"/>
      <c r="M60" s="33"/>
      <c r="N60" s="33"/>
      <c r="O60" s="33"/>
      <c r="P60" s="33"/>
      <c r="Q60" s="33"/>
    </row>
    <row r="61" spans="4:18" ht="18" customHeight="1" x14ac:dyDescent="0.25">
      <c r="L61"/>
      <c r="M61"/>
      <c r="N61"/>
      <c r="O61"/>
      <c r="P61"/>
      <c r="Q61"/>
      <c r="R61"/>
    </row>
    <row r="62" spans="4:18" ht="30" customHeight="1" thickBot="1" x14ac:dyDescent="0.3">
      <c r="D62" s="70" t="s">
        <v>61</v>
      </c>
      <c r="E62" s="48"/>
      <c r="F62" s="48"/>
      <c r="G62" s="48"/>
      <c r="H62" s="72">
        <f>SUM(H48,H54,H60)</f>
        <v>0</v>
      </c>
      <c r="I62" s="72"/>
    </row>
    <row r="63" spans="4:18" ht="18" customHeight="1" thickTop="1" x14ac:dyDescent="0.25"/>
  </sheetData>
  <mergeCells count="16">
    <mergeCell ref="D13:E13"/>
    <mergeCell ref="H45:I45"/>
    <mergeCell ref="E3:H3"/>
    <mergeCell ref="D12:E12"/>
    <mergeCell ref="H60:I60"/>
    <mergeCell ref="H46:I46"/>
    <mergeCell ref="H47:I47"/>
    <mergeCell ref="H48:I48"/>
    <mergeCell ref="H51:I51"/>
    <mergeCell ref="H52:I52"/>
    <mergeCell ref="H62:I62"/>
    <mergeCell ref="H53:I53"/>
    <mergeCell ref="H54:I54"/>
    <mergeCell ref="H57:I57"/>
    <mergeCell ref="H58:I58"/>
    <mergeCell ref="H59:I59"/>
  </mergeCells>
  <phoneticPr fontId="1"/>
  <dataValidations count="3">
    <dataValidation type="whole" allowBlank="1" showInputMessage="1" showErrorMessage="1" sqref="E6">
      <formula1>1</formula1>
      <formula2>8</formula2>
    </dataValidation>
    <dataValidation type="whole" allowBlank="1" showInputMessage="1" showErrorMessage="1" sqref="E7:E10">
      <formula1>1</formula1>
      <formula2>31</formula2>
    </dataValidation>
    <dataValidation type="list" allowBlank="1" showInputMessage="1" showErrorMessage="1" sqref="P9">
      <formula1>"□,■"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58" orientation="portrait" r:id="rId1"/>
  <headerFooter alignWithMargins="0"/>
  <ignoredErrors>
    <ignoredError sqref="F18:Q27 F31:Q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選択肢マスタ（変更禁止）</vt:lpstr>
      <vt:lpstr>概算額の計算</vt:lpstr>
      <vt:lpstr>LST_その他経費費目</vt:lpstr>
      <vt:lpstr>LST_収入費目</vt:lpstr>
      <vt:lpstr>LST_初期経費費目</vt:lpstr>
      <vt:lpstr>概算額の計算!Print_Area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2024-03-28T06:46:51Z</dcterms:modified>
</cp:coreProperties>
</file>